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\\Blmaiv\общая\ДЛЯ ДЕЛА\2022\12\08\"/>
    </mc:Choice>
  </mc:AlternateContent>
  <xr:revisionPtr revIDLastSave="0" documentId="13_ncr:81_{50A784B6-CEB7-4E29-8DA4-CF6D4BDE4C7C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План доходов " sheetId="1" r:id="rId1"/>
  </sheets>
  <definedNames>
    <definedName name="_xlnm._FilterDatabase" localSheetId="0" hidden="1">'План доходов '!$A$6:$AT$59</definedName>
    <definedName name="Z_03D5E49F_24F7_44F7_8210_D85778C981A4_.wvu.FilterData" localSheetId="0" hidden="1">'План доходов '!$A$6:$AT$59</definedName>
    <definedName name="Z_117A7AA9_056F_4018_98AD_EAECFC43F1B3_.wvu.Cols" localSheetId="0" hidden="1">'План доходов '!$B:$H,'План доходов '!$J:$T,'План доходов '!$V:$V,'План доходов '!$X:$X,'План доходов '!$Z:$AC,'План доходов '!$AE:$AG,'План доходов '!$AJ:$AM,'План доходов '!$AP:$AR</definedName>
    <definedName name="Z_117A7AA9_056F_4018_98AD_EAECFC43F1B3_.wvu.FilterData" localSheetId="0" hidden="1">'План доходов '!$A$6:$AT$59</definedName>
    <definedName name="Z_117A7AA9_056F_4018_98AD_EAECFC43F1B3_.wvu.PrintArea" localSheetId="0" hidden="1">'План доходов '!$A$1:$AO$62</definedName>
    <definedName name="Z_117A7AA9_056F_4018_98AD_EAECFC43F1B3_.wvu.PrintTitles" localSheetId="0" hidden="1">'План доходов '!$4:$6</definedName>
    <definedName name="Z_117A7AA9_056F_4018_98AD_EAECFC43F1B3_.wvu.Rows" localSheetId="0" hidden="1">'План доходов '!$64:$65</definedName>
    <definedName name="Z_4CBCD9D8_B3F5_4722_8CE7_38B89561B806_.wvu.Cols" localSheetId="0" hidden="1">'План доходов '!$B:$H,'План доходов '!$J:$O,'План доходов '!$AC:$AC,'План доходов '!$AJ:$AK,'План доходов '!$AP:$AR</definedName>
    <definedName name="Z_4CBCD9D8_B3F5_4722_8CE7_38B89561B806_.wvu.PrintArea" localSheetId="0" hidden="1">'План доходов '!$A$1:$AR$62</definedName>
    <definedName name="Z_4CBCD9D8_B3F5_4722_8CE7_38B89561B806_.wvu.PrintTitles" localSheetId="0" hidden="1">'План доходов '!$4:$6</definedName>
    <definedName name="Z_4CBCD9D8_B3F5_4722_8CE7_38B89561B806_.wvu.Rows" localSheetId="0" hidden="1">'План доходов '!$64:$65</definedName>
    <definedName name="Z_583FA723_9D22_4D8A_87C2_40F053D3EC03_.wvu.FilterData" localSheetId="0" hidden="1">'План доходов '!$A$6:$AT$59</definedName>
    <definedName name="Z_65E97C0E_073B_49BA_9AB4_D888408B0A75_.wvu.FilterData" localSheetId="0" hidden="1">'План доходов '!$A$6:$AT$59</definedName>
    <definedName name="Z_71A44519_BDEF_434C_95CC_A4A24B3AF9C3_.wvu.FilterData" localSheetId="0" hidden="1">'План доходов '!$A$6:$AT$59</definedName>
    <definedName name="Z_7DC50C37_F81E_464D_BE66_31375C660B0F_.wvu.Cols" localSheetId="0" hidden="1">'План доходов '!$B:$H,'План доходов '!$J:$L,'План доходов '!$N:$N,'План доходов '!$Q:$Q,'План доходов '!$AC:$AC,'План доходов '!$AJ:$AK,'План доходов '!$AR:$AR</definedName>
    <definedName name="Z_7DC50C37_F81E_464D_BE66_31375C660B0F_.wvu.PrintArea" localSheetId="0" hidden="1">'План доходов '!$A$1:$AR$62</definedName>
    <definedName name="Z_7DC50C37_F81E_464D_BE66_31375C660B0F_.wvu.PrintTitles" localSheetId="0" hidden="1">'План доходов '!$4:$6</definedName>
    <definedName name="Z_7DC50C37_F81E_464D_BE66_31375C660B0F_.wvu.Rows" localSheetId="0" hidden="1">'План доходов '!$64:$65</definedName>
    <definedName name="Z_EFA3296C_EA11_4228_A03B_6841E5AF5251_.wvu.Cols" localSheetId="0" hidden="1">'План доходов '!$B:$H,'План доходов '!$J:$T,'План доходов '!$V:$V,'План доходов '!$X:$X,'План доходов '!$AC:$AC,'План доходов '!$AF:$AG,'План доходов '!$AJ:$AK,'План доходов '!$AP:$AR</definedName>
    <definedName name="Z_EFA3296C_EA11_4228_A03B_6841E5AF5251_.wvu.FilterData" localSheetId="0" hidden="1">'План доходов '!$A$6:$AT$59</definedName>
    <definedName name="Z_EFA3296C_EA11_4228_A03B_6841E5AF5251_.wvu.PrintArea" localSheetId="0" hidden="1">'План доходов '!$A$1:$AP$62</definedName>
    <definedName name="Z_EFA3296C_EA11_4228_A03B_6841E5AF5251_.wvu.PrintTitles" localSheetId="0" hidden="1">'План доходов '!$4:$6</definedName>
    <definedName name="Z_EFA3296C_EA11_4228_A03B_6841E5AF5251_.wvu.Rows" localSheetId="0" hidden="1">'План доходов '!$64:$65</definedName>
    <definedName name="_xlnm.Print_Titles" localSheetId="0">'План доходов '!$4:$6</definedName>
    <definedName name="_xlnm.Print_Area" localSheetId="0">'План доходов '!$A$1:$AO$62</definedName>
  </definedNames>
  <calcPr calcId="191029"/>
  <customWorkbookViews>
    <customWorkbookView name="Пользователь - Личное представление" guid="{117A7AA9-056F-4018-98AD-EAECFC43F1B3}" mergeInterval="0" personalView="1" maximized="1" xWindow="-8" yWindow="-8" windowWidth="1296" windowHeight="1000" activeSheetId="1"/>
    <customWorkbookView name="BLTOIV1 - Личное представление" guid="{4CBCD9D8-B3F5-4722-8CE7-38B89561B806}" mergeInterval="0" personalView="1" maximized="1" xWindow="-8" yWindow="-8" windowWidth="1296" windowHeight="1000" activeSheetId="1"/>
    <customWorkbookView name="BLGANV - Личное представление" guid="{7DC50C37-F81E-464D-BE66-31375C660B0F}" mergeInterval="0" personalView="1" maximized="1" xWindow="-8" yWindow="-8" windowWidth="1296" windowHeight="1000" activeSheetId="1"/>
    <customWorkbookView name="BLPUSP2 - Личное представление" guid="{EFA3296C-EA11-4228-A03B-6841E5AF5251}" mergeInterval="0" personalView="1" maximized="1" xWindow="-8" yWindow="-8" windowWidth="1296" windowHeight="1000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48" i="1" l="1"/>
  <c r="AB28" i="1"/>
  <c r="V48" i="1"/>
  <c r="V28" i="1"/>
  <c r="V26" i="1"/>
  <c r="V19" i="1"/>
  <c r="V18" i="1"/>
  <c r="AK22" i="1"/>
  <c r="AC59" i="1"/>
  <c r="AE38" i="1"/>
  <c r="AE39" i="1"/>
  <c r="Z31" i="1"/>
  <c r="Z50" i="1"/>
  <c r="Z47" i="1"/>
  <c r="Z42" i="1"/>
  <c r="Z35" i="1"/>
  <c r="Z29" i="1"/>
  <c r="Z27" i="1"/>
  <c r="Z24" i="1"/>
  <c r="Z17" i="1"/>
  <c r="Z9" i="1" s="1"/>
  <c r="AL38" i="1"/>
  <c r="AL39" i="1"/>
  <c r="AM38" i="1"/>
  <c r="Z34" i="1" l="1"/>
  <c r="Z23" i="1"/>
  <c r="Z22" i="1" l="1"/>
  <c r="AA59" i="1"/>
  <c r="Z7" i="1"/>
  <c r="Z59" i="1" l="1"/>
  <c r="Z8" i="1"/>
  <c r="V47" i="1" l="1"/>
  <c r="W46" i="1"/>
  <c r="W26" i="1"/>
  <c r="W19" i="1"/>
  <c r="W18" i="1"/>
  <c r="AI38" i="1"/>
  <c r="AI39" i="1"/>
  <c r="AG38" i="1"/>
  <c r="AG39" i="1"/>
  <c r="AF38" i="1"/>
  <c r="AF39" i="1"/>
  <c r="U10" i="1"/>
  <c r="X50" i="1"/>
  <c r="X47" i="1"/>
  <c r="X42" i="1"/>
  <c r="X35" i="1"/>
  <c r="X34" i="1" s="1"/>
  <c r="X31" i="1"/>
  <c r="X29" i="1"/>
  <c r="X27" i="1"/>
  <c r="X24" i="1"/>
  <c r="X17" i="1"/>
  <c r="X9" i="1" s="1"/>
  <c r="AN39" i="1"/>
  <c r="AH39" i="1"/>
  <c r="AN38" i="1"/>
  <c r="AH38" i="1"/>
  <c r="AB35" i="1"/>
  <c r="Y35" i="1"/>
  <c r="Y34" i="1" s="1"/>
  <c r="AD58" i="1"/>
  <c r="AL58" i="1" s="1"/>
  <c r="AD57" i="1"/>
  <c r="AL57" i="1" s="1"/>
  <c r="AD56" i="1"/>
  <c r="AD55" i="1"/>
  <c r="AL55" i="1" s="1"/>
  <c r="AD54" i="1"/>
  <c r="AD53" i="1"/>
  <c r="AD52" i="1"/>
  <c r="AD51" i="1"/>
  <c r="AD49" i="1"/>
  <c r="AD48" i="1"/>
  <c r="AL48" i="1" s="1"/>
  <c r="AD46" i="1"/>
  <c r="AD45" i="1"/>
  <c r="AD44" i="1"/>
  <c r="AL44" i="1" s="1"/>
  <c r="AD43" i="1"/>
  <c r="AD41" i="1"/>
  <c r="AL41" i="1" s="1"/>
  <c r="AD40" i="1"/>
  <c r="AL40" i="1" s="1"/>
  <c r="AD37" i="1"/>
  <c r="AD36" i="1"/>
  <c r="AD33" i="1"/>
  <c r="AD32" i="1"/>
  <c r="AL32" i="1" s="1"/>
  <c r="AD30" i="1"/>
  <c r="AL30" i="1" s="1"/>
  <c r="AD28" i="1"/>
  <c r="AD26" i="1"/>
  <c r="AD25" i="1"/>
  <c r="AD21" i="1"/>
  <c r="AL21" i="1" s="1"/>
  <c r="AD20" i="1"/>
  <c r="AD19" i="1"/>
  <c r="AD18" i="1"/>
  <c r="AD16" i="1"/>
  <c r="AD15" i="1"/>
  <c r="AD14" i="1"/>
  <c r="AD13" i="1"/>
  <c r="AD12" i="1"/>
  <c r="W25" i="1"/>
  <c r="V31" i="1"/>
  <c r="W10" i="1"/>
  <c r="W58" i="1"/>
  <c r="W57" i="1"/>
  <c r="W55" i="1"/>
  <c r="W54" i="1"/>
  <c r="W52" i="1"/>
  <c r="W51" i="1"/>
  <c r="W49" i="1"/>
  <c r="W48" i="1"/>
  <c r="W45" i="1"/>
  <c r="W44" i="1"/>
  <c r="W43" i="1"/>
  <c r="W41" i="1"/>
  <c r="W40" i="1"/>
  <c r="W37" i="1"/>
  <c r="W36" i="1"/>
  <c r="W33" i="1"/>
  <c r="W32" i="1"/>
  <c r="W31" i="1" s="1"/>
  <c r="W30" i="1"/>
  <c r="W29" i="1" s="1"/>
  <c r="W28" i="1"/>
  <c r="W27" i="1" s="1"/>
  <c r="W21" i="1"/>
  <c r="W20" i="1"/>
  <c r="W16" i="1"/>
  <c r="W15" i="1"/>
  <c r="W14" i="1"/>
  <c r="W13" i="1"/>
  <c r="W12" i="1"/>
  <c r="W11" i="1"/>
  <c r="W53" i="1"/>
  <c r="V50" i="1"/>
  <c r="V42" i="1"/>
  <c r="V35" i="1"/>
  <c r="V34" i="1" s="1"/>
  <c r="V29" i="1"/>
  <c r="V27" i="1"/>
  <c r="U28" i="1"/>
  <c r="U27" i="1" s="1"/>
  <c r="T27" i="1"/>
  <c r="T24" i="1"/>
  <c r="U24" i="1"/>
  <c r="R24" i="1"/>
  <c r="U12" i="1"/>
  <c r="R18" i="1"/>
  <c r="U21" i="1"/>
  <c r="R14" i="1"/>
  <c r="R12" i="1"/>
  <c r="R11" i="1"/>
  <c r="U58" i="1"/>
  <c r="U57" i="1"/>
  <c r="U55" i="1"/>
  <c r="U54" i="1"/>
  <c r="U53" i="1"/>
  <c r="U52" i="1"/>
  <c r="U51" i="1"/>
  <c r="U49" i="1"/>
  <c r="U48" i="1"/>
  <c r="U46" i="1"/>
  <c r="U45" i="1"/>
  <c r="U44" i="1"/>
  <c r="U43" i="1"/>
  <c r="U41" i="1"/>
  <c r="U40" i="1"/>
  <c r="U37" i="1"/>
  <c r="U36" i="1"/>
  <c r="U33" i="1"/>
  <c r="U32" i="1"/>
  <c r="U31" i="1" s="1"/>
  <c r="U30" i="1"/>
  <c r="U29" i="1" s="1"/>
  <c r="U20" i="1"/>
  <c r="U19" i="1"/>
  <c r="U18" i="1"/>
  <c r="U16" i="1"/>
  <c r="U15" i="1"/>
  <c r="U14" i="1"/>
  <c r="U13" i="1"/>
  <c r="R13" i="1" s="1"/>
  <c r="T50" i="1"/>
  <c r="T47" i="1"/>
  <c r="T42" i="1"/>
  <c r="T35" i="1"/>
  <c r="T34" i="1" s="1"/>
  <c r="T31" i="1"/>
  <c r="T29" i="1"/>
  <c r="T17" i="1"/>
  <c r="T9" i="1" s="1"/>
  <c r="T11" i="1"/>
  <c r="U11" i="1" s="1"/>
  <c r="S53" i="1"/>
  <c r="S50" i="1" s="1"/>
  <c r="S47" i="1"/>
  <c r="S42" i="1"/>
  <c r="S35" i="1"/>
  <c r="S34" i="1" s="1"/>
  <c r="S31" i="1"/>
  <c r="S29" i="1"/>
  <c r="S27" i="1"/>
  <c r="S24" i="1"/>
  <c r="S17" i="1"/>
  <c r="Y17" i="1"/>
  <c r="Y9" i="1" s="1"/>
  <c r="Y24" i="1"/>
  <c r="Y27" i="1"/>
  <c r="Y29" i="1"/>
  <c r="Y31" i="1"/>
  <c r="Y42" i="1"/>
  <c r="Y47" i="1"/>
  <c r="Y50" i="1"/>
  <c r="P54" i="1"/>
  <c r="AN57" i="1" l="1"/>
  <c r="AN11" i="1"/>
  <c r="AI19" i="1"/>
  <c r="AM19" i="1"/>
  <c r="AL19" i="1"/>
  <c r="AM33" i="1"/>
  <c r="AL33" i="1"/>
  <c r="AM46" i="1"/>
  <c r="AL46" i="1"/>
  <c r="AN56" i="1"/>
  <c r="AL56" i="1"/>
  <c r="AI11" i="1"/>
  <c r="AM11" i="1"/>
  <c r="AL11" i="1"/>
  <c r="AM20" i="1"/>
  <c r="AL20" i="1"/>
  <c r="AI36" i="1"/>
  <c r="AM36" i="1"/>
  <c r="AL36" i="1"/>
  <c r="AM10" i="1"/>
  <c r="AL10" i="1"/>
  <c r="AI37" i="1"/>
  <c r="AL37" i="1"/>
  <c r="AM37" i="1"/>
  <c r="AG25" i="1"/>
  <c r="AL25" i="1"/>
  <c r="AI51" i="1"/>
  <c r="AL51" i="1"/>
  <c r="AM51" i="1"/>
  <c r="AG13" i="1"/>
  <c r="AL13" i="1"/>
  <c r="AI14" i="1"/>
  <c r="AL14" i="1"/>
  <c r="AM14" i="1"/>
  <c r="AI26" i="1"/>
  <c r="AL26" i="1"/>
  <c r="AM26" i="1"/>
  <c r="AG52" i="1"/>
  <c r="AL52" i="1"/>
  <c r="AM52" i="1"/>
  <c r="AG49" i="1"/>
  <c r="AL49" i="1"/>
  <c r="AI15" i="1"/>
  <c r="AL15" i="1"/>
  <c r="AM15" i="1"/>
  <c r="AG28" i="1"/>
  <c r="AL28" i="1"/>
  <c r="AG43" i="1"/>
  <c r="AL43" i="1"/>
  <c r="AG53" i="1"/>
  <c r="AL53" i="1"/>
  <c r="AM53" i="1"/>
  <c r="AI18" i="1"/>
  <c r="AM18" i="1"/>
  <c r="AL18" i="1"/>
  <c r="AM12" i="1"/>
  <c r="AL12" i="1"/>
  <c r="AI16" i="1"/>
  <c r="AM16" i="1"/>
  <c r="AL16" i="1"/>
  <c r="AI54" i="1"/>
  <c r="AL54" i="1"/>
  <c r="AM54" i="1"/>
  <c r="AM45" i="1"/>
  <c r="AL45" i="1"/>
  <c r="V24" i="1"/>
  <c r="V23" i="1" s="1"/>
  <c r="V22" i="1" s="1"/>
  <c r="V17" i="1"/>
  <c r="V9" i="1" s="1"/>
  <c r="AO12" i="1"/>
  <c r="AO10" i="1"/>
  <c r="AN14" i="1"/>
  <c r="AO41" i="1"/>
  <c r="AG11" i="1"/>
  <c r="AG26" i="1"/>
  <c r="AO32" i="1"/>
  <c r="AI10" i="1"/>
  <c r="AO33" i="1"/>
  <c r="AO46" i="1"/>
  <c r="AI28" i="1"/>
  <c r="AO45" i="1"/>
  <c r="AO20" i="1"/>
  <c r="AO48" i="1"/>
  <c r="AG10" i="1"/>
  <c r="AG19" i="1"/>
  <c r="AG51" i="1"/>
  <c r="AI12" i="1"/>
  <c r="AI20" i="1"/>
  <c r="AI32" i="1"/>
  <c r="AI52" i="1"/>
  <c r="AO13" i="1"/>
  <c r="AO36" i="1"/>
  <c r="AG15" i="1"/>
  <c r="AG18" i="1"/>
  <c r="AG54" i="1"/>
  <c r="AI13" i="1"/>
  <c r="AI33" i="1"/>
  <c r="AI43" i="1"/>
  <c r="AI53" i="1"/>
  <c r="AO14" i="1"/>
  <c r="AO37" i="1"/>
  <c r="AG14" i="1"/>
  <c r="AI45" i="1"/>
  <c r="AO15" i="1"/>
  <c r="AO26" i="1"/>
  <c r="AG16" i="1"/>
  <c r="AG45" i="1"/>
  <c r="AI25" i="1"/>
  <c r="AI46" i="1"/>
  <c r="AO16" i="1"/>
  <c r="AG12" i="1"/>
  <c r="AG46" i="1"/>
  <c r="AI49" i="1"/>
  <c r="AO18" i="1"/>
  <c r="AO19" i="1"/>
  <c r="AG20" i="1"/>
  <c r="AN46" i="1"/>
  <c r="AN53" i="1"/>
  <c r="AN37" i="1"/>
  <c r="U47" i="1"/>
  <c r="AN44" i="1"/>
  <c r="X23" i="1"/>
  <c r="AN10" i="1"/>
  <c r="U17" i="1"/>
  <c r="U9" i="1" s="1"/>
  <c r="AN12" i="1"/>
  <c r="AN21" i="1"/>
  <c r="AN40" i="1"/>
  <c r="AN58" i="1"/>
  <c r="W35" i="1"/>
  <c r="W34" i="1" s="1"/>
  <c r="AN41" i="1"/>
  <c r="AN52" i="1"/>
  <c r="U50" i="1"/>
  <c r="W24" i="1"/>
  <c r="W23" i="1" s="1"/>
  <c r="U42" i="1"/>
  <c r="AN20" i="1"/>
  <c r="AN54" i="1"/>
  <c r="AN45" i="1"/>
  <c r="AN30" i="1"/>
  <c r="T23" i="1"/>
  <c r="AN19" i="1"/>
  <c r="AN13" i="1"/>
  <c r="AN51" i="1"/>
  <c r="AN25" i="1"/>
  <c r="AN26" i="1"/>
  <c r="AN55" i="1"/>
  <c r="AN49" i="1"/>
  <c r="W47" i="1"/>
  <c r="AN48" i="1"/>
  <c r="W42" i="1"/>
  <c r="AN43" i="1"/>
  <c r="AN36" i="1"/>
  <c r="AN33" i="1"/>
  <c r="AN32" i="1"/>
  <c r="AN28" i="1"/>
  <c r="W17" i="1"/>
  <c r="W9" i="1" s="1"/>
  <c r="AN18" i="1"/>
  <c r="AN16" i="1"/>
  <c r="AN15" i="1"/>
  <c r="S23" i="1"/>
  <c r="U35" i="1"/>
  <c r="U34" i="1" s="1"/>
  <c r="W50" i="1"/>
  <c r="U23" i="1"/>
  <c r="Y23" i="1"/>
  <c r="Y7" i="1" l="1"/>
  <c r="Y22" i="1"/>
  <c r="T7" i="1"/>
  <c r="T8" i="1" s="1"/>
  <c r="T22" i="1"/>
  <c r="U22" i="1"/>
  <c r="X7" i="1"/>
  <c r="X8" i="1" s="1"/>
  <c r="X22" i="1"/>
  <c r="W22" i="1"/>
  <c r="V7" i="1"/>
  <c r="V8" i="1" s="1"/>
  <c r="U7" i="1"/>
  <c r="U8" i="1" s="1"/>
  <c r="W7" i="1"/>
  <c r="W8" i="1" s="1"/>
  <c r="S7" i="1"/>
  <c r="S8" i="1" s="1"/>
  <c r="Y8" i="1"/>
  <c r="Y59" i="1"/>
  <c r="AF58" i="1"/>
  <c r="AF57" i="1"/>
  <c r="AF56" i="1"/>
  <c r="AF55" i="1"/>
  <c r="AF48" i="1"/>
  <c r="AF43" i="1"/>
  <c r="AF41" i="1"/>
  <c r="AF40" i="1"/>
  <c r="AF32" i="1"/>
  <c r="AF21" i="1"/>
  <c r="X59" i="1" l="1"/>
  <c r="T59" i="1"/>
  <c r="V59" i="1"/>
  <c r="S59" i="1"/>
  <c r="U59" i="1"/>
  <c r="W59" i="1"/>
  <c r="AF44" i="1"/>
  <c r="AF19" i="1"/>
  <c r="AF45" i="1"/>
  <c r="AF30" i="1"/>
  <c r="AF54" i="1"/>
  <c r="AF11" i="1"/>
  <c r="AF20" i="1"/>
  <c r="AF33" i="1"/>
  <c r="AF46" i="1"/>
  <c r="AF12" i="1"/>
  <c r="AF18" i="1"/>
  <c r="AF36" i="1"/>
  <c r="AG36" i="1"/>
  <c r="AG37" i="1"/>
  <c r="AF37" i="1"/>
  <c r="AF49" i="1"/>
  <c r="AF16" i="1"/>
  <c r="AF13" i="1"/>
  <c r="AF14" i="1"/>
  <c r="AF26" i="1"/>
  <c r="AF51" i="1"/>
  <c r="AF10" i="1"/>
  <c r="AF25" i="1"/>
  <c r="AF15" i="1"/>
  <c r="AF28" i="1"/>
  <c r="AF52" i="1"/>
  <c r="AF53" i="1"/>
  <c r="P10" i="1" l="1"/>
  <c r="R10" i="1"/>
  <c r="P40" i="1"/>
  <c r="P37" i="1"/>
  <c r="P36" i="1"/>
  <c r="AB27" i="1"/>
  <c r="AD27" i="1" s="1"/>
  <c r="AL27" i="1" s="1"/>
  <c r="AB24" i="1"/>
  <c r="AD24" i="1" s="1"/>
  <c r="AH28" i="1"/>
  <c r="AE28" i="1"/>
  <c r="AE26" i="1"/>
  <c r="AE25" i="1"/>
  <c r="AK27" i="1"/>
  <c r="AK24" i="1"/>
  <c r="R28" i="1"/>
  <c r="R26" i="1"/>
  <c r="R25" i="1"/>
  <c r="P27" i="1"/>
  <c r="P24" i="1"/>
  <c r="AL24" i="1" l="1"/>
  <c r="AM24" i="1"/>
  <c r="AI27" i="1"/>
  <c r="AG27" i="1"/>
  <c r="AI24" i="1"/>
  <c r="AO24" i="1"/>
  <c r="AG24" i="1"/>
  <c r="AN27" i="1"/>
  <c r="AF27" i="1"/>
  <c r="AN24" i="1"/>
  <c r="AF24" i="1"/>
  <c r="AH26" i="1"/>
  <c r="AE24" i="1"/>
  <c r="AH25" i="1"/>
  <c r="AH24" i="1" l="1"/>
  <c r="AJ27" i="1"/>
  <c r="AH27" i="1"/>
  <c r="AJ24" i="1"/>
  <c r="AE56" i="1" l="1"/>
  <c r="AH56" i="1"/>
  <c r="AK56" i="1"/>
  <c r="AB50" i="1"/>
  <c r="AD50" i="1" s="1"/>
  <c r="AM50" i="1" l="1"/>
  <c r="AL50" i="1"/>
  <c r="AG50" i="1"/>
  <c r="AI50" i="1"/>
  <c r="AN50" i="1"/>
  <c r="AF50" i="1"/>
  <c r="AJ56" i="1"/>
  <c r="K10" i="1"/>
  <c r="M10" i="1"/>
  <c r="K11" i="1"/>
  <c r="M11" i="1"/>
  <c r="P11" i="1"/>
  <c r="K12" i="1"/>
  <c r="M12" i="1"/>
  <c r="P12" i="1"/>
  <c r="K13" i="1"/>
  <c r="M13" i="1"/>
  <c r="P13" i="1"/>
  <c r="K14" i="1"/>
  <c r="M14" i="1"/>
  <c r="P14" i="1"/>
  <c r="K15" i="1"/>
  <c r="M15" i="1"/>
  <c r="P15" i="1"/>
  <c r="K16" i="1"/>
  <c r="M16" i="1"/>
  <c r="P16" i="1"/>
  <c r="R40" i="1" l="1"/>
  <c r="R37" i="1"/>
  <c r="R36" i="1"/>
  <c r="R35" i="1" l="1"/>
  <c r="AE40" i="1"/>
  <c r="AE37" i="1"/>
  <c r="AE36" i="1"/>
  <c r="AH40" i="1"/>
  <c r="AD35" i="1"/>
  <c r="P35" i="1"/>
  <c r="AM35" i="1" l="1"/>
  <c r="AL35" i="1"/>
  <c r="AO35" i="1"/>
  <c r="AI35" i="1"/>
  <c r="AN35" i="1"/>
  <c r="AF35" i="1"/>
  <c r="AH36" i="1"/>
  <c r="AH37" i="1"/>
  <c r="AH35" i="1" l="1"/>
  <c r="AB31" i="1"/>
  <c r="AD31" i="1" s="1"/>
  <c r="AL31" i="1" s="1"/>
  <c r="AI31" i="1" l="1"/>
  <c r="AO31" i="1"/>
  <c r="AN31" i="1"/>
  <c r="AF31" i="1"/>
  <c r="R46" i="1"/>
  <c r="R16" i="1" l="1"/>
  <c r="R19" i="1"/>
  <c r="R20" i="1"/>
  <c r="R27" i="1"/>
  <c r="R32" i="1"/>
  <c r="R41" i="1"/>
  <c r="R44" i="1"/>
  <c r="R45" i="1"/>
  <c r="R49" i="1"/>
  <c r="R48" i="1"/>
  <c r="R52" i="1"/>
  <c r="R53" i="1"/>
  <c r="R15" i="1"/>
  <c r="R34" i="1" l="1"/>
  <c r="AH21" i="1" l="1"/>
  <c r="L47" i="1" l="1"/>
  <c r="AH53" i="1" l="1"/>
  <c r="AK59" i="1" l="1"/>
  <c r="AR58" i="1"/>
  <c r="AK58" i="1"/>
  <c r="AJ58" i="1"/>
  <c r="AH58" i="1"/>
  <c r="AE58" i="1"/>
  <c r="R58" i="1"/>
  <c r="P58" i="1"/>
  <c r="M58" i="1"/>
  <c r="AP58" i="1" s="1"/>
  <c r="K58" i="1"/>
  <c r="AR57" i="1"/>
  <c r="AK57" i="1"/>
  <c r="AJ57" i="1"/>
  <c r="AH57" i="1"/>
  <c r="AE57" i="1"/>
  <c r="R57" i="1"/>
  <c r="P57" i="1"/>
  <c r="M57" i="1"/>
  <c r="AP57" i="1" s="1"/>
  <c r="K57" i="1"/>
  <c r="AR55" i="1"/>
  <c r="AQ55" i="1"/>
  <c r="AP55" i="1"/>
  <c r="AK55" i="1"/>
  <c r="AJ55" i="1"/>
  <c r="AH55" i="1"/>
  <c r="AE55" i="1"/>
  <c r="R55" i="1"/>
  <c r="P55" i="1"/>
  <c r="K55" i="1"/>
  <c r="AR54" i="1"/>
  <c r="AK54" i="1"/>
  <c r="AJ54" i="1"/>
  <c r="AH54" i="1"/>
  <c r="AE54" i="1"/>
  <c r="R54" i="1"/>
  <c r="M54" i="1"/>
  <c r="AP54" i="1" s="1"/>
  <c r="K54" i="1"/>
  <c r="AR53" i="1"/>
  <c r="AK53" i="1"/>
  <c r="AJ53" i="1"/>
  <c r="AE53" i="1"/>
  <c r="P53" i="1"/>
  <c r="M53" i="1"/>
  <c r="AP53" i="1" s="1"/>
  <c r="K53" i="1"/>
  <c r="AR52" i="1"/>
  <c r="AK52" i="1"/>
  <c r="AJ52" i="1"/>
  <c r="AH52" i="1"/>
  <c r="AE52" i="1"/>
  <c r="P52" i="1"/>
  <c r="M52" i="1"/>
  <c r="AP52" i="1" s="1"/>
  <c r="K52" i="1"/>
  <c r="AK51" i="1"/>
  <c r="AJ51" i="1"/>
  <c r="AH51" i="1"/>
  <c r="AE51" i="1"/>
  <c r="R51" i="1"/>
  <c r="P51" i="1"/>
  <c r="M51" i="1"/>
  <c r="AQ51" i="1" s="1"/>
  <c r="K51" i="1"/>
  <c r="AK50" i="1"/>
  <c r="O50" i="1"/>
  <c r="N50" i="1"/>
  <c r="L50" i="1"/>
  <c r="J50" i="1"/>
  <c r="AR49" i="1"/>
  <c r="AK49" i="1"/>
  <c r="AJ49" i="1"/>
  <c r="AH49" i="1"/>
  <c r="AE49" i="1"/>
  <c r="P49" i="1"/>
  <c r="M49" i="1"/>
  <c r="AP49" i="1" s="1"/>
  <c r="K49" i="1"/>
  <c r="AK48" i="1"/>
  <c r="AE48" i="1"/>
  <c r="P48" i="1"/>
  <c r="M48" i="1"/>
  <c r="AP48" i="1" s="1"/>
  <c r="K48" i="1"/>
  <c r="AK47" i="1"/>
  <c r="AB47" i="1"/>
  <c r="AD47" i="1" s="1"/>
  <c r="AL47" i="1" s="1"/>
  <c r="O47" i="1"/>
  <c r="N47" i="1"/>
  <c r="J47" i="1"/>
  <c r="AR46" i="1"/>
  <c r="AK46" i="1"/>
  <c r="AJ46" i="1"/>
  <c r="AH46" i="1"/>
  <c r="AE46" i="1"/>
  <c r="O46" i="1"/>
  <c r="P46" i="1" s="1"/>
  <c r="M46" i="1"/>
  <c r="AQ46" i="1" s="1"/>
  <c r="K46" i="1"/>
  <c r="AR45" i="1"/>
  <c r="AK45" i="1"/>
  <c r="AJ45" i="1"/>
  <c r="AH45" i="1"/>
  <c r="AE45" i="1"/>
  <c r="P45" i="1"/>
  <c r="M45" i="1"/>
  <c r="AP45" i="1" s="1"/>
  <c r="K45" i="1"/>
  <c r="AR44" i="1"/>
  <c r="AK44" i="1"/>
  <c r="AJ44" i="1"/>
  <c r="AH44" i="1"/>
  <c r="AE44" i="1"/>
  <c r="P44" i="1"/>
  <c r="M44" i="1"/>
  <c r="AP44" i="1" s="1"/>
  <c r="K44" i="1"/>
  <c r="AR43" i="1"/>
  <c r="AK43" i="1"/>
  <c r="AJ43" i="1"/>
  <c r="AH43" i="1"/>
  <c r="AE43" i="1"/>
  <c r="R43" i="1"/>
  <c r="P43" i="1"/>
  <c r="M43" i="1"/>
  <c r="AP43" i="1" s="1"/>
  <c r="K43" i="1"/>
  <c r="AK42" i="1"/>
  <c r="AB42" i="1"/>
  <c r="AD42" i="1" s="1"/>
  <c r="AL42" i="1" s="1"/>
  <c r="O42" i="1"/>
  <c r="N42" i="1"/>
  <c r="L42" i="1"/>
  <c r="J42" i="1"/>
  <c r="AR41" i="1"/>
  <c r="AK41" i="1"/>
  <c r="AJ41" i="1"/>
  <c r="AH41" i="1"/>
  <c r="AE41" i="1"/>
  <c r="P41" i="1"/>
  <c r="M41" i="1"/>
  <c r="AQ41" i="1" s="1"/>
  <c r="K41" i="1"/>
  <c r="AR35" i="1"/>
  <c r="AK35" i="1"/>
  <c r="AJ35" i="1"/>
  <c r="AE35" i="1"/>
  <c r="M35" i="1"/>
  <c r="AQ35" i="1" s="1"/>
  <c r="K35" i="1"/>
  <c r="AK34" i="1"/>
  <c r="AB34" i="1"/>
  <c r="AD34" i="1" s="1"/>
  <c r="O34" i="1"/>
  <c r="N34" i="1"/>
  <c r="L34" i="1"/>
  <c r="J34" i="1"/>
  <c r="AK33" i="1"/>
  <c r="AJ33" i="1"/>
  <c r="AH33" i="1"/>
  <c r="AE33" i="1"/>
  <c r="R33" i="1"/>
  <c r="P33" i="1"/>
  <c r="M33" i="1"/>
  <c r="AQ33" i="1" s="1"/>
  <c r="K33" i="1"/>
  <c r="AR32" i="1"/>
  <c r="AR31" i="1" s="1"/>
  <c r="AK32" i="1"/>
  <c r="AJ32" i="1"/>
  <c r="AH32" i="1"/>
  <c r="AE32" i="1"/>
  <c r="P32" i="1"/>
  <c r="P31" i="1" s="1"/>
  <c r="M32" i="1"/>
  <c r="AQ32" i="1" s="1"/>
  <c r="K32" i="1"/>
  <c r="K31" i="1" s="1"/>
  <c r="AK31" i="1"/>
  <c r="AE31" i="1"/>
  <c r="AH31" i="1"/>
  <c r="O31" i="1"/>
  <c r="N31" i="1"/>
  <c r="L31" i="1"/>
  <c r="J31" i="1"/>
  <c r="AR30" i="1"/>
  <c r="AK30" i="1"/>
  <c r="AJ30" i="1"/>
  <c r="AH30" i="1"/>
  <c r="AE30" i="1"/>
  <c r="R30" i="1"/>
  <c r="O30" i="1"/>
  <c r="O29" i="1" s="1"/>
  <c r="M30" i="1"/>
  <c r="AP30" i="1" s="1"/>
  <c r="K30" i="1"/>
  <c r="K29" i="1" s="1"/>
  <c r="AK29" i="1"/>
  <c r="AB29" i="1"/>
  <c r="N29" i="1"/>
  <c r="L29" i="1"/>
  <c r="J29" i="1"/>
  <c r="AE27" i="1"/>
  <c r="AR27" i="1"/>
  <c r="M27" i="1"/>
  <c r="AQ27" i="1" s="1"/>
  <c r="K27" i="1"/>
  <c r="AR24" i="1"/>
  <c r="M24" i="1"/>
  <c r="AQ24" i="1" s="1"/>
  <c r="K24" i="1"/>
  <c r="AK23" i="1"/>
  <c r="AR20" i="1"/>
  <c r="AK20" i="1"/>
  <c r="AJ20" i="1"/>
  <c r="AH20" i="1"/>
  <c r="AE20" i="1"/>
  <c r="P20" i="1"/>
  <c r="M20" i="1"/>
  <c r="AP20" i="1" s="1"/>
  <c r="K20" i="1"/>
  <c r="AR19" i="1"/>
  <c r="AK19" i="1"/>
  <c r="AJ19" i="1"/>
  <c r="AE19" i="1"/>
  <c r="P19" i="1"/>
  <c r="M19" i="1"/>
  <c r="K19" i="1"/>
  <c r="AK18" i="1"/>
  <c r="AH18" i="1"/>
  <c r="AR18" i="1"/>
  <c r="AE18" i="1"/>
  <c r="P18" i="1"/>
  <c r="M18" i="1"/>
  <c r="AQ18" i="1" s="1"/>
  <c r="K18" i="1"/>
  <c r="AK17" i="1"/>
  <c r="O17" i="1"/>
  <c r="N17" i="1"/>
  <c r="L17" i="1"/>
  <c r="J17" i="1"/>
  <c r="AK16" i="1"/>
  <c r="AJ16" i="1"/>
  <c r="AH16" i="1"/>
  <c r="AE16" i="1"/>
  <c r="AQ16" i="1"/>
  <c r="AR15" i="1"/>
  <c r="AK15" i="1"/>
  <c r="AJ15" i="1"/>
  <c r="AH15" i="1"/>
  <c r="AE15" i="1"/>
  <c r="AQ15" i="1"/>
  <c r="AR14" i="1"/>
  <c r="AK14" i="1"/>
  <c r="AJ14" i="1"/>
  <c r="AH14" i="1"/>
  <c r="AE14" i="1"/>
  <c r="AQ14" i="1"/>
  <c r="AR13" i="1"/>
  <c r="AK13" i="1"/>
  <c r="AJ13" i="1"/>
  <c r="AH13" i="1"/>
  <c r="AE13" i="1"/>
  <c r="AQ13" i="1"/>
  <c r="AR12" i="1"/>
  <c r="AK12" i="1"/>
  <c r="AJ12" i="1"/>
  <c r="AH12" i="1"/>
  <c r="AE12" i="1"/>
  <c r="AQ12" i="1"/>
  <c r="AK11" i="1"/>
  <c r="AJ11" i="1"/>
  <c r="AH11" i="1"/>
  <c r="AE11" i="1"/>
  <c r="AP11" i="1"/>
  <c r="AR10" i="1"/>
  <c r="AK10" i="1"/>
  <c r="AJ10" i="1"/>
  <c r="AH10" i="1"/>
  <c r="AE10" i="1"/>
  <c r="AP10" i="1"/>
  <c r="AK7" i="1"/>
  <c r="AM34" i="1" l="1"/>
  <c r="AL34" i="1"/>
  <c r="AO34" i="1"/>
  <c r="AI34" i="1"/>
  <c r="AG42" i="1"/>
  <c r="AI42" i="1"/>
  <c r="AO47" i="1"/>
  <c r="AG47" i="1"/>
  <c r="AI47" i="1"/>
  <c r="AE29" i="1"/>
  <c r="AD29" i="1"/>
  <c r="AL29" i="1" s="1"/>
  <c r="AN42" i="1"/>
  <c r="AF42" i="1"/>
  <c r="AN47" i="1"/>
  <c r="AF47" i="1"/>
  <c r="AN34" i="1"/>
  <c r="AF34" i="1"/>
  <c r="AR29" i="1"/>
  <c r="AR23" i="1" s="1"/>
  <c r="K47" i="1"/>
  <c r="K42" i="1"/>
  <c r="AR34" i="1"/>
  <c r="AR42" i="1"/>
  <c r="P47" i="1"/>
  <c r="AE47" i="1"/>
  <c r="M42" i="1"/>
  <c r="AQ42" i="1" s="1"/>
  <c r="P17" i="1"/>
  <c r="J23" i="1"/>
  <c r="J7" i="1" s="1"/>
  <c r="J59" i="1" s="1"/>
  <c r="N23" i="1"/>
  <c r="N7" i="1" s="1"/>
  <c r="N59" i="1" s="1"/>
  <c r="O23" i="1"/>
  <c r="O7" i="1" s="1"/>
  <c r="K50" i="1"/>
  <c r="K17" i="1"/>
  <c r="P34" i="1"/>
  <c r="R42" i="1"/>
  <c r="AQ57" i="1"/>
  <c r="AH50" i="1"/>
  <c r="AQ58" i="1"/>
  <c r="M50" i="1"/>
  <c r="AP50" i="1" s="1"/>
  <c r="AQ45" i="1"/>
  <c r="M34" i="1"/>
  <c r="AP34" i="1" s="1"/>
  <c r="K23" i="1"/>
  <c r="P50" i="1"/>
  <c r="AQ52" i="1"/>
  <c r="AR50" i="1"/>
  <c r="L23" i="1"/>
  <c r="L7" i="1" s="1"/>
  <c r="L59" i="1" s="1"/>
  <c r="P30" i="1"/>
  <c r="P29" i="1" s="1"/>
  <c r="P23" i="1" s="1"/>
  <c r="AQ44" i="1"/>
  <c r="AQ54" i="1"/>
  <c r="M29" i="1"/>
  <c r="AQ29" i="1" s="1"/>
  <c r="R31" i="1"/>
  <c r="AP18" i="1"/>
  <c r="AP33" i="1"/>
  <c r="P42" i="1"/>
  <c r="R47" i="1"/>
  <c r="AH29" i="1"/>
  <c r="AQ43" i="1"/>
  <c r="AP46" i="1"/>
  <c r="AQ53" i="1"/>
  <c r="M47" i="1"/>
  <c r="AQ49" i="1"/>
  <c r="AR17" i="1"/>
  <c r="AE34" i="1"/>
  <c r="AB23" i="1"/>
  <c r="AB22" i="1" s="1"/>
  <c r="AE22" i="1" s="1"/>
  <c r="AE42" i="1"/>
  <c r="R17" i="1"/>
  <c r="M31" i="1"/>
  <c r="AP32" i="1"/>
  <c r="M17" i="1"/>
  <c r="AQ19" i="1"/>
  <c r="AP19" i="1"/>
  <c r="AH19" i="1"/>
  <c r="AP24" i="1"/>
  <c r="R29" i="1"/>
  <c r="K34" i="1"/>
  <c r="AR48" i="1"/>
  <c r="AR47" i="1" s="1"/>
  <c r="AP51" i="1"/>
  <c r="AQ10" i="1"/>
  <c r="AQ11" i="1"/>
  <c r="AB17" i="1"/>
  <c r="AB9" i="1" s="1"/>
  <c r="AE9" i="1" s="1"/>
  <c r="AQ20" i="1"/>
  <c r="AP27" i="1"/>
  <c r="AQ30" i="1"/>
  <c r="AJ34" i="1"/>
  <c r="AH42" i="1"/>
  <c r="AQ48" i="1"/>
  <c r="AE50" i="1"/>
  <c r="AP12" i="1"/>
  <c r="AP13" i="1"/>
  <c r="AP14" i="1"/>
  <c r="AP15" i="1"/>
  <c r="AP16" i="1"/>
  <c r="AH34" i="1"/>
  <c r="AP35" i="1"/>
  <c r="AP41" i="1"/>
  <c r="AJ42" i="1"/>
  <c r="R50" i="1"/>
  <c r="AJ48" i="1"/>
  <c r="AJ18" i="1"/>
  <c r="AJ31" i="1"/>
  <c r="AH48" i="1"/>
  <c r="AJ50" i="1"/>
  <c r="AJ29" i="1" l="1"/>
  <c r="AD17" i="1"/>
  <c r="AB7" i="1"/>
  <c r="AN29" i="1"/>
  <c r="AF29" i="1"/>
  <c r="AE23" i="1"/>
  <c r="AD23" i="1"/>
  <c r="AD22" i="1" s="1"/>
  <c r="AN17" i="1"/>
  <c r="R23" i="1"/>
  <c r="P7" i="1"/>
  <c r="P8" i="1" s="1"/>
  <c r="O59" i="1"/>
  <c r="O8" i="1"/>
  <c r="Q59" i="1"/>
  <c r="AP42" i="1"/>
  <c r="K7" i="1"/>
  <c r="K59" i="1" s="1"/>
  <c r="AQ50" i="1"/>
  <c r="AQ34" i="1"/>
  <c r="AR7" i="1"/>
  <c r="AR59" i="1" s="1"/>
  <c r="AP29" i="1"/>
  <c r="AE17" i="1"/>
  <c r="AP47" i="1"/>
  <c r="AH47" i="1"/>
  <c r="AJ47" i="1"/>
  <c r="AQ47" i="1"/>
  <c r="AQ31" i="1"/>
  <c r="AP31" i="1"/>
  <c r="M23" i="1"/>
  <c r="AP17" i="1"/>
  <c r="AM22" i="1" l="1"/>
  <c r="AL22" i="1"/>
  <c r="AF22" i="1"/>
  <c r="AJ22" i="1"/>
  <c r="AI22" i="1"/>
  <c r="AH22" i="1"/>
  <c r="AG22" i="1"/>
  <c r="AN22" i="1"/>
  <c r="AO22" i="1"/>
  <c r="AH17" i="1"/>
  <c r="AD9" i="1"/>
  <c r="AQ17" i="1"/>
  <c r="AL23" i="1"/>
  <c r="AM23" i="1"/>
  <c r="AM17" i="1"/>
  <c r="AL17" i="1"/>
  <c r="AJ23" i="1"/>
  <c r="AG23" i="1"/>
  <c r="AI23" i="1"/>
  <c r="AO23" i="1"/>
  <c r="AI17" i="1"/>
  <c r="AO17" i="1"/>
  <c r="AG17" i="1"/>
  <c r="AF17" i="1"/>
  <c r="AJ17" i="1"/>
  <c r="AD7" i="1"/>
  <c r="AH23" i="1"/>
  <c r="AQ23" i="1"/>
  <c r="AN23" i="1"/>
  <c r="AF23" i="1"/>
  <c r="AE7" i="1"/>
  <c r="AB8" i="1"/>
  <c r="AD8" i="1" s="1"/>
  <c r="P59" i="1"/>
  <c r="M7" i="1"/>
  <c r="R7" i="1"/>
  <c r="R8" i="1" s="1"/>
  <c r="AP23" i="1"/>
  <c r="AB59" i="1"/>
  <c r="AI9" i="1" l="1"/>
  <c r="AH9" i="1"/>
  <c r="AL9" i="1"/>
  <c r="AM9" i="1"/>
  <c r="AO9" i="1"/>
  <c r="AN9" i="1"/>
  <c r="AM7" i="1"/>
  <c r="AL7" i="1"/>
  <c r="AL8" i="1"/>
  <c r="AM8" i="1"/>
  <c r="AO7" i="1"/>
  <c r="AI7" i="1"/>
  <c r="AO8" i="1"/>
  <c r="AI8" i="1"/>
  <c r="AJ7" i="1"/>
  <c r="AE8" i="1"/>
  <c r="AN8" i="1"/>
  <c r="AH8" i="1"/>
  <c r="AG8" i="1"/>
  <c r="AF8" i="1"/>
  <c r="AD59" i="1"/>
  <c r="AH7" i="1"/>
  <c r="AN7" i="1"/>
  <c r="AG7" i="1"/>
  <c r="AF7" i="1"/>
  <c r="AP7" i="1"/>
  <c r="AE59" i="1"/>
  <c r="R59" i="1"/>
  <c r="AQ7" i="1"/>
  <c r="M59" i="1"/>
  <c r="AL59" i="1" l="1"/>
  <c r="AM59" i="1"/>
  <c r="AO59" i="1"/>
  <c r="AI59" i="1"/>
  <c r="AH59" i="1"/>
  <c r="AN59" i="1"/>
  <c r="AG59" i="1"/>
  <c r="AF59" i="1"/>
  <c r="AJ59" i="1"/>
  <c r="AQ59" i="1"/>
  <c r="AP59" i="1"/>
</calcChain>
</file>

<file path=xl/sharedStrings.xml><?xml version="1.0" encoding="utf-8"?>
<sst xmlns="http://schemas.openxmlformats.org/spreadsheetml/2006/main" count="121" uniqueCount="95">
  <si>
    <t>21900000 ВОЗВРАТ ОСТАТКОВ СУБСИДИЙ, СУБВЕНЦИЙ И ИНЫХ МЕЖБЮДЖЕТНЫХ ТРАНСФЕРТОВ, ИМЕЮЩИХ ЦЕЛЕВОЕ НАЗНАЧЕНИЕ, ПРОШЛЫХ ЛЕТ</t>
  </si>
  <si>
    <t>20000000 БЕЗВОЗМЕЗДНЫЕ ПОСТУПЛЕНИЯ</t>
  </si>
  <si>
    <t>20700000 ПРОЧИЕ БЕЗВОЗМЕЗДНЫЕ ПОСТУПЛЕНИЯ</t>
  </si>
  <si>
    <t>20240000 Иные межбюджетные трансферты</t>
  </si>
  <si>
    <t>20230000 Субвенции бюджетам бюджетной системы Российской Федерации</t>
  </si>
  <si>
    <t>20220000 Субсидии бюджетам бюджетной системы Российской Федерации (межбюджетные субсидии)</t>
  </si>
  <si>
    <t>20210000 Дотации бюджетам бюджетной системы Российской Федерации</t>
  </si>
  <si>
    <t>11700000 ПРОЧИЕ НЕНАЛОГОВЫЕ ДОХОДЫ</t>
  </si>
  <si>
    <t>10000000 НАЛОГОВЫЕ И НЕНАЛОГОВЫЕ ДОХОДЫ</t>
  </si>
  <si>
    <t>11600000 ШТРАФЫ, САНКЦИИ, ВОЗМЕЩЕНИЕ УЩЕРБА</t>
  </si>
  <si>
    <t>11406000 Доходы от продажи земельных участков, находящихся в государственной и муниципальной собственности</t>
  </si>
  <si>
    <t>11400000 ДОХОДЫ ОТ ПРОДАЖИ МАТЕРИАЛЬНЫХ И НЕМАТЕРИАЛЬНЫХ АКТИВОВ</t>
  </si>
  <si>
    <t>11302000 Доходы от компенсации затрат государства</t>
  </si>
  <si>
    <t>11300000 ДОХОДЫ ОТ ОКАЗАНИЯ ПЛАТНЫХ УСЛУГ (РАБОТ) И КОМПЕНСАЦИИ ЗАТРАТ ГОСУДАРСТВА</t>
  </si>
  <si>
    <t>11201000 Плата за негативное воздействие на окружающую среду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</si>
  <si>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</si>
  <si>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11107000 Платежи от государственных и муниципальных унитарных предприятий</t>
  </si>
  <si>
    <t>11100000 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</si>
  <si>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</si>
  <si>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10800000 ГОСУДАРСТВЕННАЯ ПОШЛИНА</t>
  </si>
  <si>
    <t>10606000 Земельный налог</t>
  </si>
  <si>
    <t>10600000 НАЛОГИ НА ИМУЩЕСТВО</t>
  </si>
  <si>
    <t>10601000 Налог на имущество физических лиц</t>
  </si>
  <si>
    <t>10504000 Налог, взимаемый в связи с применением патентной системы налогообложения</t>
  </si>
  <si>
    <t>10503000 Единый сельскохозяйственный налог</t>
  </si>
  <si>
    <t>10502000 Единый налог на вмененный доход для отдельных видов деятельности</t>
  </si>
  <si>
    <t>10302000 Акцизы по подакцизным товарам (продукции), производимым на территории Российской Федерации</t>
  </si>
  <si>
    <t>10102000 Налог на доходы физических лиц</t>
  </si>
  <si>
    <t>Код дохода</t>
  </si>
  <si>
    <t>КД</t>
  </si>
  <si>
    <t>КД5 Х.ХХ.ХХ.ХХХ</t>
  </si>
  <si>
    <t>КД4</t>
  </si>
  <si>
    <t>КД3</t>
  </si>
  <si>
    <t>КД2</t>
  </si>
  <si>
    <t>КД1</t>
  </si>
  <si>
    <t>Наименование показателя</t>
  </si>
  <si>
    <t xml:space="preserve">Земельный налог с организаций, обладающих земельным участком, расположенным в границах городских округов </t>
  </si>
  <si>
    <t xml:space="preserve">Земельный налог с физических лиц, обладающих земельным участком, расположенным в границах городских округов </t>
  </si>
  <si>
    <t xml:space="preserve">Доходы от сдачи в аренду имущества, находящегося в оперативном управлении органов управления городских округов и созданных ими учреждений </t>
  </si>
  <si>
    <t xml:space="preserve">11402000 Доходы от реализации имущества, находящегося в государственной и муниципальной собственности </t>
  </si>
  <si>
    <t>сумма</t>
  </si>
  <si>
    <t>%</t>
  </si>
  <si>
    <t>Л.В. Кузнецова</t>
  </si>
  <si>
    <t>21800000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</si>
  <si>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11109000 Прочие доходы от использования имущества и прав, находящихся в государственной и муниципальной собственности</t>
  </si>
  <si>
    <t xml:space="preserve">Прочие поступления от использования имущества, находящегося в собственности городских округов </t>
  </si>
  <si>
    <t>начальник ФУ АБГО СК</t>
  </si>
  <si>
    <t>откл.+- недели Т/П</t>
  </si>
  <si>
    <t>в т.ч. 601 Администрация БГО СК</t>
  </si>
  <si>
    <t>ФАКТ за 2020 г</t>
  </si>
  <si>
    <t>10501000 Налог, взимаемый в связи с применением упрощенной системы налогообложения</t>
  </si>
  <si>
    <t>11715000 Инициативные платежи</t>
  </si>
  <si>
    <t>11700000 Прочие неналоговые доходы</t>
  </si>
  <si>
    <t xml:space="preserve">Заместитель главы администрации - </t>
  </si>
  <si>
    <t>ОЖИДАЕМОЕ в 2021 году</t>
  </si>
  <si>
    <t>ФАКТ за 2021 г</t>
  </si>
  <si>
    <t>ФАКТ за 2020 г (в сопоставимых условиях 2022 года)</t>
  </si>
  <si>
    <t>откл.+- от уточненного плана 2022 г</t>
  </si>
  <si>
    <t>План по доходам с учетом изменений на 2021 г</t>
  </si>
  <si>
    <r>
      <t xml:space="preserve">Исполнено по 23.06.2020 год (в сопоставимых условиях 2022 года)
</t>
    </r>
    <r>
      <rPr>
        <b/>
        <sz val="14"/>
        <rFont val="Times New Roman"/>
        <family val="1"/>
        <charset val="204"/>
      </rPr>
      <t>(34,24%)</t>
    </r>
  </si>
  <si>
    <t>откл.+- от исполнения на 23.06.2020 г (в сопостав.усл. 2022 г)</t>
  </si>
  <si>
    <t xml:space="preserve">Исполнено по 23.06.2020 год </t>
  </si>
  <si>
    <t>исполнение за неделю</t>
  </si>
  <si>
    <t>10900000 ЗАДОЛЖЕННОСТЬ И ПЕРЕРАСЧЕТЫ ПО ОТМЕНЕННЫМ НАЛОГАМ, СБОРАМ И ИНЫМ ОБЯЗАТЕЛЬНЫМ ПЛАТЕЖАМ</t>
  </si>
  <si>
    <t>601 1 13 01994 04 2000 130</t>
  </si>
  <si>
    <t>606 1 13 01994 04 2000 130</t>
  </si>
  <si>
    <t>644 1 13 01994 04 2000 130</t>
  </si>
  <si>
    <t>11301000 Доходы от оказания платных услуг (работ), в т.ч.:</t>
  </si>
  <si>
    <t xml:space="preserve"> НАЛОГОВЫЕ И
 НЕНАЛОГОВЫЕ ДОХОДЫ БЕЗ ПЛАТНЫХ УСЛУГ  И КОМПЕНСАЦИИ ЗАТРАТ ГОСУДАРСТВА И БЕЗ ИНИЦИАТИВНЫХ ПЛАТЕЖЕЙ</t>
  </si>
  <si>
    <t>20800000 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</t>
  </si>
  <si>
    <t>602 Управление имущественных и земельных отношений АБГО СК</t>
  </si>
  <si>
    <t>ФАКТ за 2021 г (в сопоставимых условиях 2022 года)     (30,57%)</t>
  </si>
  <si>
    <r>
      <t>Исполнено по 31.12.2021 год (в сопоставимых условиях 2022 года)</t>
    </r>
    <r>
      <rPr>
        <b/>
        <sz val="14"/>
        <rFont val="Times New Roman"/>
        <family val="1"/>
        <charset val="204"/>
      </rPr>
      <t xml:space="preserve">     (30,57%)</t>
    </r>
  </si>
  <si>
    <t>Исполнено по 31.12.2021 год</t>
  </si>
  <si>
    <t>в т.ч. 011 Министерство имущественных отношений Ставропольского края</t>
  </si>
  <si>
    <t>План по доходам с учетом изменений на 2022 г</t>
  </si>
  <si>
    <t>ФАКТ за 2022 г</t>
  </si>
  <si>
    <t>План по доходам на 2023 г (первоначальный)</t>
  </si>
  <si>
    <t>План по доходам на 2023 г (уточненный)</t>
  </si>
  <si>
    <t>откл.+- от уточненного годового плана 2023 г</t>
  </si>
  <si>
    <t>откл.+- от первоначального годового плана 2023 г</t>
  </si>
  <si>
    <t>607 1 13 01994 04 2000 130</t>
  </si>
  <si>
    <t>611 1 13 01994 04 2000 130</t>
  </si>
  <si>
    <r>
      <t xml:space="preserve">ФАКТ за 2022 г (в сопоставимых условиях 2023 года)    </t>
    </r>
    <r>
      <rPr>
        <b/>
        <sz val="14"/>
        <rFont val="Times New Roman"/>
        <family val="1"/>
        <charset val="204"/>
      </rPr>
      <t xml:space="preserve"> (30,38%)</t>
    </r>
  </si>
  <si>
    <t>НАЛОГОВЫЕ ДОХОДЫ, в т.ч.:</t>
  </si>
  <si>
    <t>НЕНАЛОГОВЫЕ ДОХОДЫ, в т.ч.:</t>
  </si>
  <si>
    <t>Исполнено по 02.03.2022 год</t>
  </si>
  <si>
    <r>
      <t>Исполнено по 02.03.2022 год (в сопоставимых условиях 2023 года)</t>
    </r>
    <r>
      <rPr>
        <b/>
        <sz val="14"/>
        <rFont val="Times New Roman"/>
        <family val="1"/>
        <charset val="204"/>
      </rPr>
      <t xml:space="preserve">     (30,38%)</t>
    </r>
  </si>
  <si>
    <r>
      <t xml:space="preserve">Исполнение с 01.01.2023 по 02.03.2023
</t>
    </r>
    <r>
      <rPr>
        <b/>
        <sz val="14"/>
        <rFont val="Times New Roman"/>
        <family val="1"/>
        <charset val="204"/>
      </rPr>
      <t>(31,84%)</t>
    </r>
  </si>
  <si>
    <t>с 17.02.2023 по 21.02.2023 (неделя) П</t>
  </si>
  <si>
    <t>с 22.02.2023 по 02.03.2023 (неделя) Т</t>
  </si>
  <si>
    <t>откл.+- от исполнения на 02.03.2022 г  (в сопоставимых условиях 2023 года)</t>
  </si>
  <si>
    <r>
      <t xml:space="preserve">Исполнение с 01.01.2023 по 21.02.2023
</t>
    </r>
    <r>
      <rPr>
        <b/>
        <sz val="14"/>
        <rFont val="Times New Roman"/>
        <family val="1"/>
        <charset val="204"/>
      </rPr>
      <t>(30,38%)</t>
    </r>
  </si>
  <si>
    <t>откл.+- от плана за 3 месяц 2023 года</t>
  </si>
  <si>
    <t>Исполнение бюджета Благодарненского городского округа Ставропольского края по доходам по состоянию на 02.03.2023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</si>
</sst>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[Red]\-#,##0.00;0.00"/>
    <numFmt numFmtId="165" formatCode="#,##0.00_ ;[Red]\-#,##0.00\ "/>
  </numFmts>
  <fonts count="2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Arial"/>
      <family val="2"/>
      <charset val="204"/>
    </font>
    <font>
      <sz val="14"/>
      <color rgb="FFFF0000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charset val="204"/>
    </font>
    <font>
      <sz val="16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C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4">
    <xf numFmtId="0" fontId="0" fillId="0" borderId="0"/>
    <xf numFmtId="0" fontId="1" fillId="0" borderId="0"/>
    <xf numFmtId="0" fontId="6" fillId="0" borderId="0"/>
    <xf numFmtId="0" fontId="6" fillId="0" borderId="0"/>
    <xf numFmtId="0" fontId="8" fillId="0" borderId="0"/>
    <xf numFmtId="0" fontId="9" fillId="0" borderId="0"/>
    <xf numFmtId="0" fontId="10" fillId="0" borderId="0"/>
    <xf numFmtId="0" fontId="11" fillId="0" borderId="0"/>
    <xf numFmtId="0" fontId="1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5" fillId="0" borderId="0"/>
    <xf numFmtId="0" fontId="16" fillId="0" borderId="0"/>
    <xf numFmtId="0" fontId="17" fillId="0" borderId="0"/>
    <xf numFmtId="0" fontId="18" fillId="0" borderId="0"/>
    <xf numFmtId="0" fontId="1" fillId="0" borderId="0"/>
  </cellStyleXfs>
  <cellXfs count="115">
    <xf numFmtId="0" fontId="0" fillId="0" borderId="0" xfId="0"/>
    <xf numFmtId="0" fontId="1" fillId="0" borderId="0" xfId="1"/>
    <xf numFmtId="0" fontId="2" fillId="0" borderId="0" xfId="1" applyFont="1" applyProtection="1">
      <protection hidden="1"/>
    </xf>
    <xf numFmtId="0" fontId="1" fillId="0" borderId="0" xfId="1" applyAlignment="1" applyProtection="1">
      <alignment vertical="top"/>
      <protection hidden="1"/>
    </xf>
    <xf numFmtId="0" fontId="4" fillId="0" borderId="0" xfId="1" applyFont="1" applyProtection="1">
      <protection hidden="1"/>
    </xf>
    <xf numFmtId="0" fontId="4" fillId="0" borderId="0" xfId="1" applyFont="1"/>
    <xf numFmtId="0" fontId="4" fillId="0" borderId="1" xfId="1" applyFont="1" applyBorder="1" applyAlignment="1" applyProtection="1">
      <alignment horizontal="center"/>
      <protection hidden="1"/>
    </xf>
    <xf numFmtId="0" fontId="4" fillId="0" borderId="0" xfId="1" applyFont="1" applyAlignment="1" applyProtection="1">
      <alignment horizontal="centerContinuous" vertical="center"/>
      <protection hidden="1"/>
    </xf>
    <xf numFmtId="0" fontId="4" fillId="0" borderId="1" xfId="1" applyFont="1" applyBorder="1" applyProtection="1">
      <protection hidden="1"/>
    </xf>
    <xf numFmtId="0" fontId="3" fillId="0" borderId="0" xfId="1" applyFont="1" applyProtection="1">
      <protection hidden="1"/>
    </xf>
    <xf numFmtId="0" fontId="3" fillId="0" borderId="0" xfId="1" applyFont="1"/>
    <xf numFmtId="0" fontId="3" fillId="0" borderId="1" xfId="1" applyFont="1" applyBorder="1" applyAlignment="1" applyProtection="1">
      <alignment horizontal="center"/>
      <protection hidden="1"/>
    </xf>
    <xf numFmtId="164" fontId="3" fillId="0" borderId="1" xfId="1" applyNumberFormat="1" applyFont="1" applyBorder="1" applyAlignment="1" applyProtection="1">
      <alignment horizontal="right"/>
      <protection hidden="1"/>
    </xf>
    <xf numFmtId="164" fontId="4" fillId="0" borderId="1" xfId="1" applyNumberFormat="1" applyFont="1" applyBorder="1" applyAlignment="1" applyProtection="1">
      <alignment horizontal="right"/>
      <protection hidden="1"/>
    </xf>
    <xf numFmtId="0" fontId="4" fillId="4" borderId="1" xfId="1" applyFont="1" applyFill="1" applyBorder="1" applyAlignment="1" applyProtection="1">
      <alignment horizontal="left" wrapText="1"/>
      <protection hidden="1"/>
    </xf>
    <xf numFmtId="164" fontId="3" fillId="5" borderId="1" xfId="1" applyNumberFormat="1" applyFont="1" applyFill="1" applyBorder="1" applyAlignment="1" applyProtection="1">
      <alignment horizontal="right"/>
      <protection hidden="1"/>
    </xf>
    <xf numFmtId="165" fontId="1" fillId="0" borderId="0" xfId="1" applyNumberFormat="1"/>
    <xf numFmtId="164" fontId="4" fillId="3" borderId="1" xfId="1" applyNumberFormat="1" applyFont="1" applyFill="1" applyBorder="1" applyAlignment="1" applyProtection="1">
      <alignment horizontal="right"/>
      <protection hidden="1"/>
    </xf>
    <xf numFmtId="165" fontId="4" fillId="0" borderId="0" xfId="1" applyNumberFormat="1" applyFont="1"/>
    <xf numFmtId="164" fontId="5" fillId="0" borderId="1" xfId="1" applyNumberFormat="1" applyFont="1" applyBorder="1" applyAlignment="1" applyProtection="1">
      <alignment horizontal="right"/>
      <protection hidden="1"/>
    </xf>
    <xf numFmtId="0" fontId="4" fillId="3" borderId="0" xfId="1" applyFont="1" applyFill="1" applyProtection="1">
      <protection hidden="1"/>
    </xf>
    <xf numFmtId="0" fontId="4" fillId="3" borderId="1" xfId="1" applyFont="1" applyFill="1" applyBorder="1" applyAlignment="1" applyProtection="1">
      <alignment horizontal="left" wrapText="1"/>
      <protection hidden="1"/>
    </xf>
    <xf numFmtId="0" fontId="4" fillId="3" borderId="1" xfId="1" applyFont="1" applyFill="1" applyBorder="1" applyAlignment="1" applyProtection="1">
      <alignment horizontal="right" wrapText="1"/>
      <protection hidden="1"/>
    </xf>
    <xf numFmtId="0" fontId="4" fillId="3" borderId="0" xfId="1" applyFont="1" applyFill="1"/>
    <xf numFmtId="164" fontId="3" fillId="0" borderId="4" xfId="1" applyNumberFormat="1" applyFont="1" applyBorder="1" applyAlignment="1" applyProtection="1">
      <alignment horizontal="right"/>
      <protection hidden="1"/>
    </xf>
    <xf numFmtId="164" fontId="3" fillId="0" borderId="0" xfId="1" applyNumberFormat="1" applyFont="1" applyAlignment="1" applyProtection="1">
      <alignment horizontal="right"/>
      <protection hidden="1"/>
    </xf>
    <xf numFmtId="164" fontId="4" fillId="5" borderId="1" xfId="1" applyNumberFormat="1" applyFont="1" applyFill="1" applyBorder="1" applyAlignment="1" applyProtection="1">
      <alignment horizontal="right"/>
      <protection hidden="1"/>
    </xf>
    <xf numFmtId="164" fontId="7" fillId="0" borderId="1" xfId="1" applyNumberFormat="1" applyFont="1" applyBorder="1" applyAlignment="1" applyProtection="1">
      <alignment horizontal="right"/>
      <protection hidden="1"/>
    </xf>
    <xf numFmtId="164" fontId="4" fillId="0" borderId="0" xfId="1" applyNumberFormat="1" applyFont="1" applyAlignment="1" applyProtection="1">
      <alignment horizontal="right"/>
      <protection hidden="1"/>
    </xf>
    <xf numFmtId="164" fontId="4" fillId="0" borderId="4" xfId="1" applyNumberFormat="1" applyFont="1" applyBorder="1" applyAlignment="1" applyProtection="1">
      <alignment horizontal="right"/>
      <protection hidden="1"/>
    </xf>
    <xf numFmtId="165" fontId="3" fillId="0" borderId="1" xfId="1" applyNumberFormat="1" applyFont="1" applyBorder="1" applyAlignment="1" applyProtection="1">
      <alignment horizontal="right"/>
      <protection hidden="1"/>
    </xf>
    <xf numFmtId="165" fontId="3" fillId="5" borderId="1" xfId="1" applyNumberFormat="1" applyFont="1" applyFill="1" applyBorder="1" applyAlignment="1" applyProtection="1">
      <alignment horizontal="right"/>
      <protection hidden="1"/>
    </xf>
    <xf numFmtId="165" fontId="4" fillId="0" borderId="1" xfId="1" applyNumberFormat="1" applyFont="1" applyBorder="1" applyAlignment="1" applyProtection="1">
      <alignment horizontal="right"/>
      <protection hidden="1"/>
    </xf>
    <xf numFmtId="165" fontId="3" fillId="0" borderId="1" xfId="1" applyNumberFormat="1" applyFont="1" applyBorder="1" applyAlignment="1" applyProtection="1">
      <alignment horizontal="right" wrapText="1"/>
      <protection hidden="1"/>
    </xf>
    <xf numFmtId="164" fontId="4" fillId="3" borderId="0" xfId="1" applyNumberFormat="1" applyFont="1" applyFill="1" applyAlignment="1" applyProtection="1">
      <alignment horizontal="right"/>
      <protection hidden="1"/>
    </xf>
    <xf numFmtId="0" fontId="4" fillId="0" borderId="1" xfId="1" applyFont="1" applyBorder="1" applyAlignment="1" applyProtection="1">
      <alignment horizontal="center" vertical="center"/>
      <protection hidden="1"/>
    </xf>
    <xf numFmtId="164" fontId="4" fillId="7" borderId="1" xfId="1" applyNumberFormat="1" applyFont="1" applyFill="1" applyBorder="1" applyAlignment="1" applyProtection="1">
      <alignment horizontal="right"/>
      <protection hidden="1"/>
    </xf>
    <xf numFmtId="0" fontId="4" fillId="0" borderId="5" xfId="1" applyFont="1" applyBorder="1" applyAlignment="1" applyProtection="1">
      <alignment horizontal="center" vertical="center"/>
      <protection hidden="1"/>
    </xf>
    <xf numFmtId="0" fontId="4" fillId="0" borderId="1" xfId="1" applyFont="1" applyBorder="1" applyAlignment="1">
      <alignment horizontal="center" vertical="center" wrapText="1"/>
    </xf>
    <xf numFmtId="164" fontId="3" fillId="7" borderId="1" xfId="1" applyNumberFormat="1" applyFont="1" applyFill="1" applyBorder="1" applyAlignment="1" applyProtection="1">
      <alignment horizontal="right"/>
      <protection hidden="1"/>
    </xf>
    <xf numFmtId="0" fontId="5" fillId="3" borderId="1" xfId="1" applyFont="1" applyFill="1" applyBorder="1" applyAlignment="1" applyProtection="1">
      <alignment horizontal="center" vertical="center" wrapText="1"/>
      <protection hidden="1"/>
    </xf>
    <xf numFmtId="164" fontId="3" fillId="8" borderId="1" xfId="1" applyNumberFormat="1" applyFont="1" applyFill="1" applyBorder="1" applyAlignment="1" applyProtection="1">
      <alignment horizontal="right"/>
      <protection hidden="1"/>
    </xf>
    <xf numFmtId="164" fontId="3" fillId="3" borderId="1" xfId="1" applyNumberFormat="1" applyFont="1" applyFill="1" applyBorder="1" applyAlignment="1" applyProtection="1">
      <alignment horizontal="right"/>
      <protection hidden="1"/>
    </xf>
    <xf numFmtId="164" fontId="4" fillId="8" borderId="1" xfId="1" applyNumberFormat="1" applyFont="1" applyFill="1" applyBorder="1" applyAlignment="1" applyProtection="1">
      <alignment horizontal="right"/>
      <protection hidden="1"/>
    </xf>
    <xf numFmtId="0" fontId="4" fillId="0" borderId="0" xfId="1" applyFont="1" applyAlignment="1" applyProtection="1">
      <alignment horizontal="center" vertical="center"/>
      <protection hidden="1"/>
    </xf>
    <xf numFmtId="0" fontId="3" fillId="0" borderId="1" xfId="1" applyFont="1" applyBorder="1" applyAlignment="1" applyProtection="1">
      <alignment horizontal="left" wrapText="1"/>
      <protection hidden="1"/>
    </xf>
    <xf numFmtId="0" fontId="4" fillId="0" borderId="1" xfId="1" applyFont="1" applyBorder="1" applyAlignment="1" applyProtection="1">
      <alignment horizontal="left" wrapText="1"/>
      <protection hidden="1"/>
    </xf>
    <xf numFmtId="0" fontId="4" fillId="0" borderId="1" xfId="1" applyFont="1" applyBorder="1" applyAlignment="1" applyProtection="1">
      <alignment horizontal="center" vertical="center" wrapText="1"/>
      <protection hidden="1"/>
    </xf>
    <xf numFmtId="164" fontId="4" fillId="0" borderId="2" xfId="1" applyNumberFormat="1" applyFont="1" applyBorder="1" applyAlignment="1" applyProtection="1">
      <alignment horizontal="right"/>
      <protection hidden="1"/>
    </xf>
    <xf numFmtId="0" fontId="4" fillId="7" borderId="1" xfId="1" applyFont="1" applyFill="1" applyBorder="1" applyAlignment="1" applyProtection="1">
      <alignment horizontal="left" wrapText="1"/>
      <protection hidden="1"/>
    </xf>
    <xf numFmtId="164" fontId="3" fillId="0" borderId="2" xfId="1" applyNumberFormat="1" applyFont="1" applyBorder="1" applyAlignment="1" applyProtection="1">
      <alignment horizontal="right"/>
      <protection hidden="1"/>
    </xf>
    <xf numFmtId="164" fontId="3" fillId="7" borderId="2" xfId="1" applyNumberFormat="1" applyFont="1" applyFill="1" applyBorder="1" applyAlignment="1" applyProtection="1">
      <alignment horizontal="right"/>
      <protection hidden="1"/>
    </xf>
    <xf numFmtId="164" fontId="3" fillId="0" borderId="3" xfId="1" applyNumberFormat="1" applyFont="1" applyBorder="1" applyAlignment="1" applyProtection="1">
      <alignment horizontal="right"/>
      <protection hidden="1"/>
    </xf>
    <xf numFmtId="164" fontId="3" fillId="5" borderId="3" xfId="1" applyNumberFormat="1" applyFont="1" applyFill="1" applyBorder="1" applyAlignment="1" applyProtection="1">
      <alignment horizontal="right"/>
      <protection hidden="1"/>
    </xf>
    <xf numFmtId="164" fontId="3" fillId="7" borderId="3" xfId="1" applyNumberFormat="1" applyFont="1" applyFill="1" applyBorder="1" applyAlignment="1" applyProtection="1">
      <alignment horizontal="right"/>
      <protection hidden="1"/>
    </xf>
    <xf numFmtId="164" fontId="3" fillId="7" borderId="0" xfId="1" applyNumberFormat="1" applyFont="1" applyFill="1" applyAlignment="1" applyProtection="1">
      <alignment horizontal="right"/>
      <protection hidden="1"/>
    </xf>
    <xf numFmtId="0" fontId="3" fillId="4" borderId="1" xfId="1" applyFont="1" applyFill="1" applyBorder="1" applyAlignment="1" applyProtection="1">
      <alignment wrapText="1"/>
      <protection hidden="1"/>
    </xf>
    <xf numFmtId="164" fontId="3" fillId="4" borderId="1" xfId="1" applyNumberFormat="1" applyFont="1" applyFill="1" applyBorder="1" applyAlignment="1" applyProtection="1">
      <alignment horizontal="right"/>
      <protection hidden="1"/>
    </xf>
    <xf numFmtId="165" fontId="3" fillId="4" borderId="1" xfId="1" applyNumberFormat="1" applyFont="1" applyFill="1" applyBorder="1" applyAlignment="1" applyProtection="1">
      <alignment wrapText="1"/>
      <protection hidden="1"/>
    </xf>
    <xf numFmtId="164" fontId="4" fillId="10" borderId="1" xfId="1" applyNumberFormat="1" applyFont="1" applyFill="1" applyBorder="1" applyAlignment="1" applyProtection="1">
      <alignment horizontal="right"/>
      <protection hidden="1"/>
    </xf>
    <xf numFmtId="164" fontId="3" fillId="0" borderId="9" xfId="1" applyNumberFormat="1" applyFont="1" applyBorder="1" applyAlignment="1" applyProtection="1">
      <alignment horizontal="right"/>
      <protection hidden="1"/>
    </xf>
    <xf numFmtId="164" fontId="3" fillId="5" borderId="6" xfId="1" applyNumberFormat="1" applyFont="1" applyFill="1" applyBorder="1" applyAlignment="1" applyProtection="1">
      <alignment horizontal="right"/>
      <protection hidden="1"/>
    </xf>
    <xf numFmtId="0" fontId="4" fillId="2" borderId="1" xfId="1" applyFont="1" applyFill="1" applyBorder="1" applyAlignment="1" applyProtection="1">
      <alignment horizontal="left" vertical="top" wrapText="1"/>
      <protection hidden="1"/>
    </xf>
    <xf numFmtId="0" fontId="3" fillId="0" borderId="0" xfId="1" applyFont="1" applyAlignment="1" applyProtection="1">
      <alignment horizontal="left" vertical="top" wrapText="1"/>
      <protection hidden="1"/>
    </xf>
    <xf numFmtId="0" fontId="3" fillId="4" borderId="1" xfId="1" applyFont="1" applyFill="1" applyBorder="1" applyAlignment="1" applyProtection="1">
      <alignment vertical="top" wrapText="1"/>
      <protection hidden="1"/>
    </xf>
    <xf numFmtId="0" fontId="3" fillId="0" borderId="1" xfId="1" applyFont="1" applyBorder="1" applyAlignment="1" applyProtection="1">
      <alignment horizontal="left" vertical="top" wrapText="1"/>
      <protection hidden="1"/>
    </xf>
    <xf numFmtId="164" fontId="3" fillId="0" borderId="1" xfId="1" applyNumberFormat="1" applyFont="1" applyBorder="1" applyAlignment="1" applyProtection="1">
      <alignment horizontal="right" vertical="top"/>
      <protection hidden="1"/>
    </xf>
    <xf numFmtId="0" fontId="4" fillId="4" borderId="1" xfId="1" applyFont="1" applyFill="1" applyBorder="1" applyAlignment="1" applyProtection="1">
      <alignment horizontal="left" vertical="top" wrapText="1"/>
      <protection hidden="1"/>
    </xf>
    <xf numFmtId="0" fontId="3" fillId="0" borderId="5" xfId="1" applyFont="1" applyBorder="1" applyAlignment="1" applyProtection="1">
      <alignment horizontal="left" vertical="top" wrapText="1"/>
      <protection hidden="1"/>
    </xf>
    <xf numFmtId="0" fontId="4" fillId="3" borderId="1" xfId="1" applyFont="1" applyFill="1" applyBorder="1" applyAlignment="1" applyProtection="1">
      <alignment horizontal="left" vertical="top" wrapText="1"/>
      <protection hidden="1"/>
    </xf>
    <xf numFmtId="0" fontId="4" fillId="3" borderId="1" xfId="1" applyFont="1" applyFill="1" applyBorder="1" applyAlignment="1" applyProtection="1">
      <alignment horizontal="center"/>
      <protection hidden="1"/>
    </xf>
    <xf numFmtId="4" fontId="4" fillId="0" borderId="0" xfId="1" applyNumberFormat="1" applyFont="1" applyProtection="1">
      <protection hidden="1"/>
    </xf>
    <xf numFmtId="4" fontId="4" fillId="0" borderId="0" xfId="1" applyNumberFormat="1" applyFont="1"/>
    <xf numFmtId="2" fontId="4" fillId="0" borderId="0" xfId="1" applyNumberFormat="1" applyFont="1"/>
    <xf numFmtId="164" fontId="3" fillId="10" borderId="2" xfId="1" applyNumberFormat="1" applyFont="1" applyFill="1" applyBorder="1" applyAlignment="1" applyProtection="1">
      <alignment horizontal="right"/>
      <protection hidden="1"/>
    </xf>
    <xf numFmtId="0" fontId="4" fillId="7" borderId="1" xfId="1" applyFont="1" applyFill="1" applyBorder="1" applyAlignment="1" applyProtection="1">
      <alignment horizontal="center" vertical="center" wrapText="1"/>
      <protection hidden="1"/>
    </xf>
    <xf numFmtId="164" fontId="4" fillId="4" borderId="1" xfId="1" applyNumberFormat="1" applyFont="1" applyFill="1" applyBorder="1" applyAlignment="1" applyProtection="1">
      <alignment horizontal="right"/>
      <protection hidden="1"/>
    </xf>
    <xf numFmtId="0" fontId="3" fillId="0" borderId="6" xfId="8" applyFont="1" applyBorder="1" applyAlignment="1" applyProtection="1">
      <alignment horizontal="left" vertical="top" wrapText="1"/>
      <protection hidden="1"/>
    </xf>
    <xf numFmtId="0" fontId="3" fillId="11" borderId="3" xfId="1" applyFont="1" applyFill="1" applyBorder="1" applyAlignment="1" applyProtection="1">
      <alignment vertical="top" wrapText="1"/>
      <protection hidden="1"/>
    </xf>
    <xf numFmtId="0" fontId="3" fillId="11" borderId="3" xfId="1" applyFont="1" applyFill="1" applyBorder="1" applyAlignment="1" applyProtection="1">
      <alignment wrapText="1"/>
      <protection hidden="1"/>
    </xf>
    <xf numFmtId="165" fontId="3" fillId="11" borderId="3" xfId="1" applyNumberFormat="1" applyFont="1" applyFill="1" applyBorder="1" applyAlignment="1" applyProtection="1">
      <alignment wrapText="1"/>
      <protection hidden="1"/>
    </xf>
    <xf numFmtId="164" fontId="3" fillId="11" borderId="1" xfId="1" applyNumberFormat="1" applyFont="1" applyFill="1" applyBorder="1" applyAlignment="1" applyProtection="1">
      <alignment horizontal="right"/>
      <protection hidden="1"/>
    </xf>
    <xf numFmtId="164" fontId="3" fillId="11" borderId="2" xfId="1" applyNumberFormat="1" applyFont="1" applyFill="1" applyBorder="1" applyAlignment="1" applyProtection="1">
      <alignment horizontal="right"/>
      <protection hidden="1"/>
    </xf>
    <xf numFmtId="164" fontId="3" fillId="11" borderId="3" xfId="1" applyNumberFormat="1" applyFont="1" applyFill="1" applyBorder="1" applyAlignment="1" applyProtection="1">
      <alignment horizontal="right"/>
      <protection hidden="1"/>
    </xf>
    <xf numFmtId="0" fontId="3" fillId="11" borderId="6" xfId="8" applyFont="1" applyFill="1" applyBorder="1" applyAlignment="1" applyProtection="1">
      <alignment horizontal="left" vertical="top" wrapText="1"/>
      <protection hidden="1"/>
    </xf>
    <xf numFmtId="0" fontId="3" fillId="11" borderId="9" xfId="8" applyFont="1" applyFill="1" applyBorder="1" applyAlignment="1" applyProtection="1">
      <alignment horizontal="left" vertical="top" wrapText="1"/>
      <protection hidden="1"/>
    </xf>
    <xf numFmtId="0" fontId="5" fillId="9" borderId="1" xfId="1" applyFont="1" applyFill="1" applyBorder="1" applyAlignment="1" applyProtection="1">
      <alignment horizontal="center" vertical="center" wrapText="1"/>
      <protection hidden="1"/>
    </xf>
    <xf numFmtId="0" fontId="5" fillId="0" borderId="0" xfId="1" applyFont="1" applyProtection="1">
      <protection hidden="1"/>
    </xf>
    <xf numFmtId="165" fontId="5" fillId="0" borderId="0" xfId="1" applyNumberFormat="1" applyFont="1" applyProtection="1">
      <protection hidden="1"/>
    </xf>
    <xf numFmtId="0" fontId="5" fillId="0" borderId="0" xfId="1" applyFont="1" applyAlignment="1" applyProtection="1">
      <alignment horizontal="right"/>
      <protection hidden="1"/>
    </xf>
    <xf numFmtId="0" fontId="5" fillId="0" borderId="0" xfId="1" applyFont="1"/>
    <xf numFmtId="0" fontId="4" fillId="6" borderId="1" xfId="1" applyFont="1" applyFill="1" applyBorder="1" applyAlignment="1" applyProtection="1">
      <alignment horizontal="center" vertical="center" wrapText="1"/>
      <protection hidden="1"/>
    </xf>
    <xf numFmtId="0" fontId="4" fillId="3" borderId="1" xfId="1" applyFont="1" applyFill="1" applyBorder="1" applyAlignment="1" applyProtection="1">
      <alignment horizontal="center" vertical="center" wrapText="1"/>
      <protection hidden="1"/>
    </xf>
    <xf numFmtId="0" fontId="3" fillId="0" borderId="1" xfId="1" applyFont="1" applyBorder="1" applyAlignment="1" applyProtection="1">
      <alignment horizontal="left" vertical="top" wrapText="1"/>
      <protection hidden="1"/>
    </xf>
    <xf numFmtId="4" fontId="4" fillId="0" borderId="0" xfId="1" applyNumberFormat="1" applyFont="1" applyAlignment="1">
      <alignment horizontal="center"/>
    </xf>
    <xf numFmtId="0" fontId="4" fillId="0" borderId="1" xfId="1" applyFont="1" applyBorder="1" applyAlignment="1" applyProtection="1">
      <alignment horizontal="left" vertical="top" wrapText="1"/>
      <protection hidden="1"/>
    </xf>
    <xf numFmtId="0" fontId="3" fillId="0" borderId="8" xfId="8" applyFont="1" applyBorder="1" applyAlignment="1" applyProtection="1">
      <alignment horizontal="left" vertical="top" wrapText="1"/>
      <protection hidden="1"/>
    </xf>
    <xf numFmtId="0" fontId="3" fillId="0" borderId="7" xfId="8" applyFont="1" applyBorder="1" applyAlignment="1" applyProtection="1">
      <alignment horizontal="left" vertical="top" wrapText="1"/>
      <protection hidden="1"/>
    </xf>
    <xf numFmtId="0" fontId="4" fillId="0" borderId="1" xfId="1" applyFont="1" applyBorder="1" applyAlignment="1" applyProtection="1">
      <alignment horizontal="center" vertical="center" wrapText="1"/>
      <protection hidden="1"/>
    </xf>
    <xf numFmtId="0" fontId="3" fillId="0" borderId="2" xfId="1" applyFont="1" applyBorder="1" applyAlignment="1" applyProtection="1">
      <alignment horizontal="left" vertical="top" wrapText="1"/>
      <protection hidden="1"/>
    </xf>
    <xf numFmtId="0" fontId="4" fillId="0" borderId="2" xfId="1" applyFont="1" applyBorder="1" applyAlignment="1" applyProtection="1">
      <alignment horizontal="center" vertical="center" wrapText="1"/>
      <protection hidden="1"/>
    </xf>
    <xf numFmtId="0" fontId="4" fillId="0" borderId="3" xfId="1" applyFont="1" applyBorder="1" applyAlignment="1" applyProtection="1">
      <alignment horizontal="center" vertical="center" wrapText="1"/>
      <protection hidden="1"/>
    </xf>
    <xf numFmtId="0" fontId="3" fillId="0" borderId="3" xfId="1" applyFont="1" applyBorder="1" applyAlignment="1" applyProtection="1">
      <alignment horizontal="left" vertical="top" wrapText="1"/>
      <protection hidden="1"/>
    </xf>
    <xf numFmtId="0" fontId="4" fillId="9" borderId="2" xfId="1" applyFont="1" applyFill="1" applyBorder="1" applyAlignment="1" applyProtection="1">
      <alignment horizontal="center" vertical="center" wrapText="1"/>
      <protection hidden="1"/>
    </xf>
    <xf numFmtId="0" fontId="4" fillId="9" borderId="3" xfId="1" applyFont="1" applyFill="1" applyBorder="1" applyAlignment="1" applyProtection="1">
      <alignment horizontal="center" vertical="center" wrapText="1"/>
      <protection hidden="1"/>
    </xf>
    <xf numFmtId="0" fontId="4" fillId="0" borderId="0" xfId="1" applyFont="1" applyAlignment="1" applyProtection="1">
      <alignment horizontal="center" vertical="center"/>
      <protection hidden="1"/>
    </xf>
    <xf numFmtId="0" fontId="4" fillId="3" borderId="1" xfId="1" applyFont="1" applyFill="1" applyBorder="1" applyAlignment="1" applyProtection="1">
      <alignment horizontal="center" vertical="center"/>
      <protection hidden="1"/>
    </xf>
    <xf numFmtId="0" fontId="4" fillId="7" borderId="1" xfId="1" applyFont="1" applyFill="1" applyBorder="1" applyAlignment="1" applyProtection="1">
      <alignment horizontal="center" vertical="center" wrapText="1"/>
      <protection hidden="1"/>
    </xf>
    <xf numFmtId="0" fontId="4" fillId="3" borderId="2" xfId="1" applyFont="1" applyFill="1" applyBorder="1" applyAlignment="1" applyProtection="1">
      <alignment horizontal="center" vertical="center" wrapText="1"/>
      <protection hidden="1"/>
    </xf>
    <xf numFmtId="0" fontId="4" fillId="3" borderId="3" xfId="1" applyFont="1" applyFill="1" applyBorder="1" applyAlignment="1" applyProtection="1">
      <alignment horizontal="center" vertical="center" wrapText="1"/>
      <protection hidden="1"/>
    </xf>
    <xf numFmtId="0" fontId="4" fillId="3" borderId="12" xfId="1" applyFont="1" applyFill="1" applyBorder="1" applyAlignment="1" applyProtection="1">
      <alignment horizontal="center" vertical="center" wrapText="1"/>
      <protection hidden="1"/>
    </xf>
    <xf numFmtId="0" fontId="4" fillId="3" borderId="10" xfId="1" applyFont="1" applyFill="1" applyBorder="1" applyAlignment="1" applyProtection="1">
      <alignment horizontal="center" vertical="center" wrapText="1"/>
      <protection hidden="1"/>
    </xf>
    <xf numFmtId="0" fontId="4" fillId="3" borderId="13" xfId="1" applyFont="1" applyFill="1" applyBorder="1" applyAlignment="1" applyProtection="1">
      <alignment horizontal="center" vertical="center" wrapText="1"/>
      <protection hidden="1"/>
    </xf>
    <xf numFmtId="0" fontId="4" fillId="3" borderId="11" xfId="1" applyFont="1" applyFill="1" applyBorder="1" applyAlignment="1" applyProtection="1">
      <alignment horizontal="center" vertical="center" wrapText="1"/>
      <protection hidden="1"/>
    </xf>
    <xf numFmtId="0" fontId="19" fillId="0" borderId="0" xfId="1" applyFont="1" applyAlignment="1" applyProtection="1">
      <alignment horizontal="center" vertical="center"/>
      <protection hidden="1"/>
    </xf>
  </cellXfs>
  <cellStyles count="24">
    <cellStyle name="Обычный" xfId="0" builtinId="0"/>
    <cellStyle name="Обычный 10" xfId="18" xr:uid="{00000000-0005-0000-0000-000001000000}"/>
    <cellStyle name="Обычный 10 2" xfId="23" xr:uid="{87EAD2FA-FEA9-49B3-B4AA-66B56E6E49D2}"/>
    <cellStyle name="Обычный 11" xfId="19" xr:uid="{FF01E298-DDF2-45F0-A58D-2B2BA2C7382D}"/>
    <cellStyle name="Обычный 12" xfId="20" xr:uid="{7544DBE9-3A9D-4461-BF3B-D6525F1ED9B6}"/>
    <cellStyle name="Обычный 13" xfId="21" xr:uid="{E985F616-0B06-4B47-96C0-7C0180EDC9F7}"/>
    <cellStyle name="Обычный 14" xfId="22" xr:uid="{16E98CD3-AB87-46C3-9E53-BC0BF6EA8E0B}"/>
    <cellStyle name="Обычный 2" xfId="1" xr:uid="{00000000-0005-0000-0000-000002000000}"/>
    <cellStyle name="Обычный 2 2" xfId="3" xr:uid="{00000000-0005-0000-0000-000003000000}"/>
    <cellStyle name="Обычный 2 2 2" xfId="11" xr:uid="{00000000-0005-0000-0000-000004000000}"/>
    <cellStyle name="Обычный 3" xfId="2" xr:uid="{00000000-0005-0000-0000-000005000000}"/>
    <cellStyle name="Обычный 3 2" xfId="10" xr:uid="{00000000-0005-0000-0000-000006000000}"/>
    <cellStyle name="Обычный 4" xfId="4" xr:uid="{00000000-0005-0000-0000-000007000000}"/>
    <cellStyle name="Обычный 4 2" xfId="12" xr:uid="{00000000-0005-0000-0000-000008000000}"/>
    <cellStyle name="Обычный 5" xfId="5" xr:uid="{00000000-0005-0000-0000-000009000000}"/>
    <cellStyle name="Обычный 5 2" xfId="13" xr:uid="{00000000-0005-0000-0000-00000A000000}"/>
    <cellStyle name="Обычный 6" xfId="6" xr:uid="{00000000-0005-0000-0000-00000B000000}"/>
    <cellStyle name="Обычный 6 2" xfId="14" xr:uid="{00000000-0005-0000-0000-00000C000000}"/>
    <cellStyle name="Обычный 7" xfId="7" xr:uid="{00000000-0005-0000-0000-00000D000000}"/>
    <cellStyle name="Обычный 7 2" xfId="15" xr:uid="{00000000-0005-0000-0000-00000E000000}"/>
    <cellStyle name="Обычный 8" xfId="8" xr:uid="{00000000-0005-0000-0000-00000F000000}"/>
    <cellStyle name="Обычный 8 2" xfId="16" xr:uid="{00000000-0005-0000-0000-000010000000}"/>
    <cellStyle name="Обычный 9" xfId="9" xr:uid="{00000000-0005-0000-0000-000011000000}"/>
    <cellStyle name="Обычный 9 2" xfId="17" xr:uid="{00000000-0005-0000-0000-000012000000}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T72"/>
  <sheetViews>
    <sheetView showGridLines="0" tabSelected="1" view="pageBreakPreview" topLeftCell="I1" zoomScale="75" zoomScaleNormal="68" zoomScaleSheetLayoutView="66" workbookViewId="0">
      <pane xSplit="12" ySplit="6" topLeftCell="W7" activePane="bottomRight" state="frozen"/>
      <selection activeCell="I1" sqref="I1"/>
      <selection pane="topRight" activeCell="U1" sqref="U1"/>
      <selection pane="bottomLeft" activeCell="I7" sqref="I7"/>
      <selection pane="bottomRight" activeCell="AH13" sqref="AH13"/>
    </sheetView>
  </sheetViews>
  <sheetFormatPr defaultColWidth="9.140625" defaultRowHeight="12.75" x14ac:dyDescent="0.2"/>
  <cols>
    <col min="1" max="1" width="0.42578125" style="1" customWidth="1"/>
    <col min="2" max="8" width="9.140625" style="1" hidden="1" customWidth="1"/>
    <col min="9" max="9" width="63.140625" style="1" customWidth="1"/>
    <col min="10" max="15" width="21.85546875" style="1" hidden="1" customWidth="1"/>
    <col min="16" max="16" width="25" style="1" hidden="1" customWidth="1"/>
    <col min="17" max="17" width="22.140625" style="1" hidden="1" customWidth="1"/>
    <col min="18" max="18" width="25.42578125" style="1" hidden="1" customWidth="1"/>
    <col min="19" max="19" width="27.28515625" style="1" hidden="1" customWidth="1"/>
    <col min="20" max="20" width="25.5703125" style="1" hidden="1" customWidth="1"/>
    <col min="21" max="21" width="25.42578125" style="1" customWidth="1"/>
    <col min="22" max="22" width="24.7109375" style="1" hidden="1" customWidth="1"/>
    <col min="23" max="23" width="25.42578125" style="1" customWidth="1"/>
    <col min="24" max="24" width="17" style="1" hidden="1" customWidth="1"/>
    <col min="25" max="25" width="25.28515625" style="1" customWidth="1"/>
    <col min="26" max="26" width="25" style="1" hidden="1" customWidth="1"/>
    <col min="27" max="27" width="22.140625" style="1" hidden="1" customWidth="1"/>
    <col min="28" max="28" width="21.42578125" style="1" hidden="1" customWidth="1"/>
    <col min="29" max="29" width="15.85546875" style="1" hidden="1" customWidth="1"/>
    <col min="30" max="30" width="23.85546875" style="1" customWidth="1"/>
    <col min="31" max="31" width="20.85546875" style="1" hidden="1" customWidth="1"/>
    <col min="32" max="32" width="23.42578125" style="1" hidden="1" customWidth="1"/>
    <col min="33" max="33" width="12" style="1" hidden="1" customWidth="1"/>
    <col min="34" max="34" width="22.85546875" style="1" customWidth="1"/>
    <col min="35" max="35" width="14" style="1" customWidth="1"/>
    <col min="36" max="36" width="9.42578125" style="1" hidden="1" customWidth="1"/>
    <col min="37" max="37" width="16.5703125" style="1" hidden="1" customWidth="1"/>
    <col min="38" max="38" width="23.42578125" style="1" hidden="1" customWidth="1"/>
    <col min="39" max="39" width="14.5703125" style="1" hidden="1" customWidth="1"/>
    <col min="40" max="40" width="20.7109375" style="1" customWidth="1"/>
    <col min="41" max="41" width="12.5703125" style="1" customWidth="1"/>
    <col min="42" max="42" width="28.28515625" style="1" hidden="1" customWidth="1"/>
    <col min="43" max="43" width="18.42578125" style="1" hidden="1" customWidth="1"/>
    <col min="44" max="44" width="23.7109375" style="1" hidden="1" customWidth="1"/>
    <col min="45" max="45" width="9.140625" style="1" customWidth="1"/>
    <col min="46" max="46" width="22.42578125" style="1" customWidth="1"/>
    <col min="47" max="249" width="9.140625" style="1" customWidth="1"/>
    <col min="250" max="16384" width="9.140625" style="1"/>
  </cols>
  <sheetData>
    <row r="1" spans="1:44" ht="28.5" customHeight="1" x14ac:dyDescent="0.2">
      <c r="A1" s="3"/>
      <c r="B1" s="2"/>
      <c r="C1" s="2"/>
      <c r="D1" s="2"/>
      <c r="E1" s="2"/>
      <c r="F1" s="2"/>
      <c r="G1" s="2"/>
      <c r="H1" s="2"/>
      <c r="I1" s="105" t="s">
        <v>94</v>
      </c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2"/>
      <c r="AJ1" s="2"/>
      <c r="AK1" s="2"/>
      <c r="AL1" s="2"/>
      <c r="AM1" s="2"/>
      <c r="AN1" s="2"/>
      <c r="AO1" s="2"/>
      <c r="AP1" s="2"/>
    </row>
    <row r="2" spans="1:44" s="5" customFormat="1" ht="20.25" customHeight="1" x14ac:dyDescent="0.3">
      <c r="A2" s="7"/>
      <c r="B2" s="7"/>
      <c r="C2" s="7"/>
      <c r="D2" s="7"/>
      <c r="E2" s="7"/>
      <c r="F2" s="7"/>
      <c r="G2" s="7"/>
      <c r="H2" s="7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44"/>
      <c r="AJ2" s="44"/>
      <c r="AK2" s="44"/>
      <c r="AL2" s="44"/>
      <c r="AM2" s="44"/>
      <c r="AN2" s="44"/>
      <c r="AO2" s="44"/>
      <c r="AP2" s="7"/>
    </row>
    <row r="3" spans="1:44" s="90" customFormat="1" ht="19.5" customHeight="1" x14ac:dyDescent="0.3">
      <c r="A3" s="87"/>
      <c r="B3" s="87"/>
      <c r="C3" s="87"/>
      <c r="D3" s="87"/>
      <c r="E3" s="87"/>
      <c r="F3" s="87"/>
      <c r="G3" s="87"/>
      <c r="H3" s="87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88"/>
      <c r="AI3" s="87"/>
      <c r="AJ3" s="87"/>
      <c r="AK3" s="87"/>
      <c r="AL3" s="87"/>
      <c r="AM3" s="87"/>
      <c r="AN3" s="87"/>
      <c r="AO3" s="89"/>
      <c r="AP3" s="87"/>
    </row>
    <row r="4" spans="1:44" s="5" customFormat="1" ht="74.25" customHeight="1" x14ac:dyDescent="0.3">
      <c r="A4" s="4"/>
      <c r="B4" s="8"/>
      <c r="C4" s="8"/>
      <c r="D4" s="8"/>
      <c r="E4" s="8"/>
      <c r="F4" s="8"/>
      <c r="G4" s="8"/>
      <c r="H4" s="8"/>
      <c r="I4" s="106" t="s">
        <v>35</v>
      </c>
      <c r="J4" s="92" t="s">
        <v>49</v>
      </c>
      <c r="K4" s="92" t="s">
        <v>56</v>
      </c>
      <c r="L4" s="91" t="s">
        <v>61</v>
      </c>
      <c r="M4" s="92" t="s">
        <v>59</v>
      </c>
      <c r="N4" s="92" t="s">
        <v>58</v>
      </c>
      <c r="O4" s="91" t="s">
        <v>55</v>
      </c>
      <c r="P4" s="92" t="s">
        <v>71</v>
      </c>
      <c r="Q4" s="91" t="s">
        <v>73</v>
      </c>
      <c r="R4" s="92" t="s">
        <v>72</v>
      </c>
      <c r="S4" s="107" t="s">
        <v>75</v>
      </c>
      <c r="T4" s="91" t="s">
        <v>76</v>
      </c>
      <c r="U4" s="92" t="s">
        <v>83</v>
      </c>
      <c r="V4" s="91" t="s">
        <v>86</v>
      </c>
      <c r="W4" s="92" t="s">
        <v>87</v>
      </c>
      <c r="X4" s="108" t="s">
        <v>77</v>
      </c>
      <c r="Y4" s="111" t="s">
        <v>78</v>
      </c>
      <c r="Z4" s="113"/>
      <c r="AA4" s="98" t="s">
        <v>62</v>
      </c>
      <c r="AB4" s="98"/>
      <c r="AC4" s="103" t="s">
        <v>92</v>
      </c>
      <c r="AD4" s="92" t="s">
        <v>88</v>
      </c>
      <c r="AE4" s="100" t="s">
        <v>47</v>
      </c>
      <c r="AF4" s="107" t="s">
        <v>80</v>
      </c>
      <c r="AG4" s="107"/>
      <c r="AH4" s="98" t="s">
        <v>79</v>
      </c>
      <c r="AI4" s="98"/>
      <c r="AJ4" s="98" t="s">
        <v>57</v>
      </c>
      <c r="AK4" s="98"/>
      <c r="AL4" s="98" t="s">
        <v>93</v>
      </c>
      <c r="AM4" s="98"/>
      <c r="AN4" s="98" t="s">
        <v>91</v>
      </c>
      <c r="AO4" s="98"/>
      <c r="AP4" s="98" t="s">
        <v>60</v>
      </c>
      <c r="AQ4" s="98"/>
      <c r="AR4" s="38" t="s">
        <v>54</v>
      </c>
    </row>
    <row r="5" spans="1:44" s="5" customFormat="1" ht="57" customHeight="1" x14ac:dyDescent="0.3">
      <c r="A5" s="4"/>
      <c r="B5" s="47" t="s">
        <v>34</v>
      </c>
      <c r="C5" s="47" t="s">
        <v>33</v>
      </c>
      <c r="D5" s="47" t="s">
        <v>32</v>
      </c>
      <c r="E5" s="47" t="s">
        <v>31</v>
      </c>
      <c r="F5" s="47" t="s">
        <v>30</v>
      </c>
      <c r="G5" s="47" t="s">
        <v>29</v>
      </c>
      <c r="H5" s="47" t="s">
        <v>28</v>
      </c>
      <c r="I5" s="106"/>
      <c r="J5" s="92"/>
      <c r="K5" s="92"/>
      <c r="L5" s="91"/>
      <c r="M5" s="92"/>
      <c r="N5" s="92"/>
      <c r="O5" s="91"/>
      <c r="P5" s="92"/>
      <c r="Q5" s="91"/>
      <c r="R5" s="92"/>
      <c r="S5" s="107"/>
      <c r="T5" s="91"/>
      <c r="U5" s="92"/>
      <c r="V5" s="91"/>
      <c r="W5" s="92"/>
      <c r="X5" s="109"/>
      <c r="Y5" s="110"/>
      <c r="Z5" s="112"/>
      <c r="AA5" s="86" t="s">
        <v>89</v>
      </c>
      <c r="AB5" s="40" t="s">
        <v>90</v>
      </c>
      <c r="AC5" s="104"/>
      <c r="AD5" s="92"/>
      <c r="AE5" s="101"/>
      <c r="AF5" s="75" t="s">
        <v>40</v>
      </c>
      <c r="AG5" s="75" t="s">
        <v>41</v>
      </c>
      <c r="AH5" s="47" t="s">
        <v>40</v>
      </c>
      <c r="AI5" s="47" t="s">
        <v>41</v>
      </c>
      <c r="AJ5" s="47" t="s">
        <v>40</v>
      </c>
      <c r="AK5" s="47" t="s">
        <v>41</v>
      </c>
      <c r="AL5" s="47" t="s">
        <v>40</v>
      </c>
      <c r="AM5" s="47" t="s">
        <v>41</v>
      </c>
      <c r="AN5" s="47" t="s">
        <v>40</v>
      </c>
      <c r="AO5" s="47" t="s">
        <v>41</v>
      </c>
      <c r="AP5" s="47" t="s">
        <v>40</v>
      </c>
      <c r="AQ5" s="47" t="s">
        <v>41</v>
      </c>
      <c r="AR5" s="47" t="s">
        <v>40</v>
      </c>
    </row>
    <row r="6" spans="1:44" s="5" customFormat="1" ht="18.75" x14ac:dyDescent="0.3">
      <c r="A6" s="4"/>
      <c r="B6" s="47"/>
      <c r="C6" s="47"/>
      <c r="D6" s="47"/>
      <c r="E6" s="47"/>
      <c r="F6" s="47"/>
      <c r="G6" s="47"/>
      <c r="H6" s="47"/>
      <c r="I6" s="35">
        <v>1</v>
      </c>
      <c r="J6" s="35">
        <v>8</v>
      </c>
      <c r="K6" s="35">
        <v>3</v>
      </c>
      <c r="L6" s="35"/>
      <c r="M6" s="35">
        <v>2</v>
      </c>
      <c r="N6" s="35">
        <v>8</v>
      </c>
      <c r="O6" s="35">
        <v>3</v>
      </c>
      <c r="P6" s="35">
        <v>4</v>
      </c>
      <c r="Q6" s="35">
        <v>9</v>
      </c>
      <c r="R6" s="35">
        <v>2</v>
      </c>
      <c r="S6" s="35"/>
      <c r="T6" s="35"/>
      <c r="U6" s="35">
        <v>2</v>
      </c>
      <c r="V6" s="35"/>
      <c r="W6" s="35">
        <v>3</v>
      </c>
      <c r="X6" s="35">
        <v>3</v>
      </c>
      <c r="Y6" s="35">
        <v>4</v>
      </c>
      <c r="Z6" s="35">
        <v>5</v>
      </c>
      <c r="AA6" s="35">
        <v>6</v>
      </c>
      <c r="AB6" s="35">
        <v>7</v>
      </c>
      <c r="AC6" s="35"/>
      <c r="AD6" s="35">
        <v>5</v>
      </c>
      <c r="AE6" s="35">
        <v>9</v>
      </c>
      <c r="AF6" s="35">
        <v>6</v>
      </c>
      <c r="AG6" s="35">
        <v>7</v>
      </c>
      <c r="AH6" s="35">
        <v>6</v>
      </c>
      <c r="AI6" s="35">
        <v>7</v>
      </c>
      <c r="AJ6" s="35">
        <v>9</v>
      </c>
      <c r="AK6" s="35">
        <v>10</v>
      </c>
      <c r="AL6" s="35">
        <v>12</v>
      </c>
      <c r="AM6" s="35">
        <v>13</v>
      </c>
      <c r="AN6" s="35">
        <v>8</v>
      </c>
      <c r="AO6" s="35">
        <v>9</v>
      </c>
      <c r="AP6" s="35">
        <v>18</v>
      </c>
      <c r="AQ6" s="35">
        <v>19</v>
      </c>
      <c r="AR6" s="37">
        <v>19</v>
      </c>
    </row>
    <row r="7" spans="1:44" s="10" customFormat="1" ht="40.5" customHeight="1" x14ac:dyDescent="0.3">
      <c r="A7" s="9"/>
      <c r="B7" s="99" t="s">
        <v>8</v>
      </c>
      <c r="C7" s="99"/>
      <c r="D7" s="99"/>
      <c r="E7" s="99"/>
      <c r="F7" s="99"/>
      <c r="G7" s="99"/>
      <c r="H7" s="99"/>
      <c r="I7" s="99"/>
      <c r="J7" s="50">
        <f t="shared" ref="J7:R7" si="0">J10+J11+J13+J14+J15+J16+J17+J20+J23+J33+J34+J42+J45+J47+J12</f>
        <v>360649780.94999993</v>
      </c>
      <c r="K7" s="50">
        <f t="shared" si="0"/>
        <v>346641901.21513432</v>
      </c>
      <c r="L7" s="50">
        <f t="shared" si="0"/>
        <v>126453042.85999998</v>
      </c>
      <c r="M7" s="50">
        <f t="shared" si="0"/>
        <v>121167237.5755432</v>
      </c>
      <c r="N7" s="50">
        <f t="shared" si="0"/>
        <v>360402470.81999993</v>
      </c>
      <c r="O7" s="50">
        <f t="shared" si="0"/>
        <v>385569790.7899999</v>
      </c>
      <c r="P7" s="50">
        <f>P10+P11+P13+P14+P15+P16+P17+P20+P23+P33+P34+P42+P45+P47+P12</f>
        <v>384576783.90558708</v>
      </c>
      <c r="Q7" s="50">
        <v>385569790.7899999</v>
      </c>
      <c r="R7" s="50">
        <f t="shared" si="0"/>
        <v>381858850.5055871</v>
      </c>
      <c r="S7" s="50">
        <f>S10+S11+S13+S14+S15+S16+S17+S20+S23+S33+S34+S42+S45+S47+S12+S21</f>
        <v>382886348.21999997</v>
      </c>
      <c r="T7" s="50">
        <f>T10+T11+T13+T14+T15+T16+T17+T20+T23+T33+T34+T42+T45+T47+T12+T21</f>
        <v>405945830.95999998</v>
      </c>
      <c r="U7" s="50">
        <f>U10+U11+U13+U14+U15+U16+U17+U20+U23+U33+U34+U42+U45+U47+U12+U21</f>
        <v>414967089.2946741</v>
      </c>
      <c r="V7" s="50">
        <f t="shared" ref="V7:AD7" si="1">V10+V11+V13+V14+V15+V16+V17+V20+V23+V33+V34+V42+V45+V47+V12+V21</f>
        <v>47931035.100000001</v>
      </c>
      <c r="W7" s="50">
        <f t="shared" si="1"/>
        <v>49047872.672264643</v>
      </c>
      <c r="X7" s="50">
        <f t="shared" si="1"/>
        <v>400415099.64999998</v>
      </c>
      <c r="Y7" s="50">
        <f t="shared" si="1"/>
        <v>443097374.21999997</v>
      </c>
      <c r="Z7" s="50">
        <f t="shared" ref="Z7" si="2">Z10+Z11+Z13+Z14+Z15+Z16+Z17+Z20+Z23+Z33+Z34+Z42+Z45+Z47+Z12+Z21</f>
        <v>79963773.170000002</v>
      </c>
      <c r="AA7" s="50">
        <v>-907311.53</v>
      </c>
      <c r="AB7" s="50">
        <f t="shared" si="1"/>
        <v>17136746.220000006</v>
      </c>
      <c r="AC7" s="50">
        <v>20936899.620000005</v>
      </c>
      <c r="AD7" s="50">
        <f t="shared" si="1"/>
        <v>38073645.840000004</v>
      </c>
      <c r="AE7" s="50">
        <f>AB7-AA7</f>
        <v>18044057.750000007</v>
      </c>
      <c r="AF7" s="50">
        <f t="shared" ref="AF7:AF39" si="3">AD7-X7</f>
        <v>-362341453.80999994</v>
      </c>
      <c r="AG7" s="50">
        <f t="shared" ref="AG7:AG28" si="4">AD7/X7*100</f>
        <v>9.5085439768080455</v>
      </c>
      <c r="AH7" s="50">
        <f t="shared" ref="AH7:AH37" si="5">AD7-Y7</f>
        <v>-405023728.38</v>
      </c>
      <c r="AI7" s="50">
        <f>AD7/Y7%</f>
        <v>8.5926137357555774</v>
      </c>
      <c r="AJ7" s="50" t="e">
        <f>AD7-#REF!</f>
        <v>#REF!</v>
      </c>
      <c r="AK7" s="50" t="e">
        <f>IF(#REF!=0,0,AD7/#REF!*100)</f>
        <v>#REF!</v>
      </c>
      <c r="AL7" s="50">
        <f>AD7-Z7</f>
        <v>-41890127.329999998</v>
      </c>
      <c r="AM7" s="50">
        <f>AD7/Z7*100</f>
        <v>47.613618430757207</v>
      </c>
      <c r="AN7" s="50">
        <f>AD7-W7</f>
        <v>-10974226.832264639</v>
      </c>
      <c r="AO7" s="50">
        <f>AD7/W7%</f>
        <v>77.62547846754974</v>
      </c>
      <c r="AP7" s="50">
        <f>AD7-M7</f>
        <v>-83093591.735543191</v>
      </c>
      <c r="AQ7" s="50">
        <f>IF(M7=0,0,AD7/M7*100)</f>
        <v>31.422393216039545</v>
      </c>
      <c r="AR7" s="51" t="e">
        <f>AR10+AR11+AR13+AR14+AR15+AR16+AR17+AR20+AR23+AR33+AR34+AR42+AR45+AR47+AR12</f>
        <v>#REF!</v>
      </c>
    </row>
    <row r="8" spans="1:44" s="10" customFormat="1" ht="94.5" customHeight="1" x14ac:dyDescent="0.3">
      <c r="A8" s="9"/>
      <c r="B8" s="63"/>
      <c r="C8" s="63"/>
      <c r="D8" s="63"/>
      <c r="E8" s="63"/>
      <c r="F8" s="63"/>
      <c r="G8" s="63"/>
      <c r="H8" s="63"/>
      <c r="I8" s="64" t="s">
        <v>68</v>
      </c>
      <c r="J8" s="56"/>
      <c r="K8" s="56"/>
      <c r="L8" s="56"/>
      <c r="M8" s="56"/>
      <c r="N8" s="56"/>
      <c r="O8" s="58">
        <f>O7-O34-O49</f>
        <v>352285283.9799999</v>
      </c>
      <c r="P8" s="58">
        <f>P7-P34-P49</f>
        <v>351292277.09558707</v>
      </c>
      <c r="Q8" s="58">
        <v>352285283.9799999</v>
      </c>
      <c r="R8" s="58">
        <f>R7-R34-R49</f>
        <v>348574343.6955871</v>
      </c>
      <c r="S8" s="58">
        <f t="shared" ref="S8" si="6">S7-S34-S49</f>
        <v>353430820.75</v>
      </c>
      <c r="T8" s="58">
        <f>T7-T34-T49+T41-31715.49-30845.55-10000-18222.76-1302-275200</f>
        <v>374964244.18000001</v>
      </c>
      <c r="U8" s="58">
        <f>U7-U34-U49+U41-31715.49-30845.55-10000-18222.76-1302-275200</f>
        <v>383985502.51467413</v>
      </c>
      <c r="V8" s="58">
        <f>V7-V34-V49</f>
        <v>43074443.75</v>
      </c>
      <c r="W8" s="58">
        <f>W7-W34-W49</f>
        <v>44191281.322264642</v>
      </c>
      <c r="X8" s="58">
        <f t="shared" ref="X8:Z8" si="7">X7-X34-X49</f>
        <v>372608810</v>
      </c>
      <c r="Y8" s="58">
        <f t="shared" si="7"/>
        <v>413468575.76999998</v>
      </c>
      <c r="Z8" s="58">
        <f t="shared" si="7"/>
        <v>72064467.549999997</v>
      </c>
      <c r="AA8" s="58">
        <v>-1409332.95</v>
      </c>
      <c r="AB8" s="58">
        <f>AB7-AB34-AB49</f>
        <v>16295389.000000007</v>
      </c>
      <c r="AC8" s="58">
        <v>13914455.080000004</v>
      </c>
      <c r="AD8" s="58">
        <f t="shared" ref="AD8:AD58" si="8">AC8+AB8</f>
        <v>30209844.080000013</v>
      </c>
      <c r="AE8" s="57">
        <f t="shared" ref="AE8:AE59" si="9">AB8-AA8</f>
        <v>17704721.950000007</v>
      </c>
      <c r="AF8" s="74">
        <f t="shared" si="3"/>
        <v>-342398965.91999996</v>
      </c>
      <c r="AG8" s="74">
        <f t="shared" si="4"/>
        <v>8.1076569499255839</v>
      </c>
      <c r="AH8" s="57">
        <f t="shared" si="5"/>
        <v>-383258731.68999994</v>
      </c>
      <c r="AI8" s="57">
        <f>AD8/Y8%</f>
        <v>7.3064425812144016</v>
      </c>
      <c r="AJ8" s="57"/>
      <c r="AK8" s="57"/>
      <c r="AL8" s="74">
        <f t="shared" ref="AL8:AL59" si="10">AD8-Z8</f>
        <v>-41854623.469999984</v>
      </c>
      <c r="AM8" s="74">
        <f t="shared" ref="AM8:AM59" si="11">AD8/Z8*100</f>
        <v>41.92058181660709</v>
      </c>
      <c r="AN8" s="57">
        <f t="shared" ref="AN8:AN59" si="12">AD8-W8</f>
        <v>-13981437.242264628</v>
      </c>
      <c r="AO8" s="57">
        <f>AD8/W8%</f>
        <v>68.361548197018578</v>
      </c>
      <c r="AP8" s="25"/>
      <c r="AQ8" s="25"/>
      <c r="AR8" s="55"/>
    </row>
    <row r="9" spans="1:44" s="10" customFormat="1" ht="30" customHeight="1" x14ac:dyDescent="0.3">
      <c r="A9" s="9"/>
      <c r="B9" s="63"/>
      <c r="C9" s="63"/>
      <c r="D9" s="63"/>
      <c r="E9" s="63"/>
      <c r="F9" s="63"/>
      <c r="G9" s="63"/>
      <c r="H9" s="63"/>
      <c r="I9" s="78" t="s">
        <v>84</v>
      </c>
      <c r="J9" s="79"/>
      <c r="K9" s="79"/>
      <c r="L9" s="79"/>
      <c r="M9" s="79"/>
      <c r="N9" s="79"/>
      <c r="O9" s="80"/>
      <c r="P9" s="80"/>
      <c r="Q9" s="80"/>
      <c r="R9" s="80"/>
      <c r="S9" s="80"/>
      <c r="T9" s="80">
        <f>T10+T11+T12+T13+T14+T15+T16+T17+T20+T21</f>
        <v>318657278.21000004</v>
      </c>
      <c r="U9" s="80">
        <f t="shared" ref="U9:AB9" si="13">U10+U11+U12+U13+U14+U15+U16+U17+U20+U21</f>
        <v>327678536.54467416</v>
      </c>
      <c r="V9" s="80">
        <f t="shared" si="13"/>
        <v>39208862.379999995</v>
      </c>
      <c r="W9" s="80">
        <f t="shared" si="13"/>
        <v>40325699.952264637</v>
      </c>
      <c r="X9" s="80">
        <f t="shared" si="13"/>
        <v>323434900</v>
      </c>
      <c r="Y9" s="80">
        <f t="shared" si="13"/>
        <v>364294665.76999998</v>
      </c>
      <c r="Z9" s="80">
        <f t="shared" si="13"/>
        <v>66564663.020000003</v>
      </c>
      <c r="AA9" s="80">
        <v>-2251840.5000000005</v>
      </c>
      <c r="AB9" s="80">
        <f t="shared" si="13"/>
        <v>15779204.250000002</v>
      </c>
      <c r="AC9" s="80">
        <v>11096077.340000002</v>
      </c>
      <c r="AD9" s="80">
        <f t="shared" ref="AD9" si="14">AD10+AD11+AD12+AD13+AD14+AD15+AD16+AD17+AD20+AD21</f>
        <v>26875281.59</v>
      </c>
      <c r="AE9" s="81">
        <f t="shared" si="9"/>
        <v>18031044.750000004</v>
      </c>
      <c r="AF9" s="82"/>
      <c r="AG9" s="82"/>
      <c r="AH9" s="81">
        <f t="shared" si="5"/>
        <v>-337419384.18000001</v>
      </c>
      <c r="AI9" s="81">
        <f>AD9/Y9%</f>
        <v>7.377346998258794</v>
      </c>
      <c r="AJ9" s="83"/>
      <c r="AK9" s="83"/>
      <c r="AL9" s="82">
        <f t="shared" si="10"/>
        <v>-39689381.430000007</v>
      </c>
      <c r="AM9" s="82">
        <f t="shared" si="11"/>
        <v>40.374697881254292</v>
      </c>
      <c r="AN9" s="81">
        <f t="shared" si="12"/>
        <v>-13450418.362264637</v>
      </c>
      <c r="AO9" s="81">
        <f>AD9/W9%</f>
        <v>66.64554272291241</v>
      </c>
      <c r="AP9" s="25"/>
      <c r="AQ9" s="25"/>
      <c r="AR9" s="55"/>
    </row>
    <row r="10" spans="1:44" s="10" customFormat="1" ht="25.5" customHeight="1" x14ac:dyDescent="0.3">
      <c r="A10" s="9"/>
      <c r="B10" s="102" t="s">
        <v>27</v>
      </c>
      <c r="C10" s="102"/>
      <c r="D10" s="102"/>
      <c r="E10" s="102"/>
      <c r="F10" s="102"/>
      <c r="G10" s="102"/>
      <c r="H10" s="102"/>
      <c r="I10" s="102"/>
      <c r="J10" s="52">
        <v>164512361.93000001</v>
      </c>
      <c r="K10" s="53">
        <f>J10/34.24*100*30.38/100</f>
        <v>145966283.74513432</v>
      </c>
      <c r="L10" s="52">
        <v>66310922.030000001</v>
      </c>
      <c r="M10" s="53">
        <f>L10/34.24*100*30.38/100</f>
        <v>58835450.095543221</v>
      </c>
      <c r="N10" s="52">
        <v>151841019.02000001</v>
      </c>
      <c r="O10" s="52">
        <v>159769581.34999999</v>
      </c>
      <c r="P10" s="53">
        <f>O10/30.57%*30.38%</f>
        <v>158776574.46558717</v>
      </c>
      <c r="Q10" s="52">
        <v>159769581.34999999</v>
      </c>
      <c r="R10" s="53">
        <f>Q10/30.57%*30.38%</f>
        <v>158776574.46558717</v>
      </c>
      <c r="S10" s="52">
        <v>175650779.62</v>
      </c>
      <c r="T10" s="52">
        <v>187716320.69</v>
      </c>
      <c r="U10" s="53">
        <f>T10/30.38%*31.84%</f>
        <v>196737579.02467412</v>
      </c>
      <c r="V10" s="52">
        <v>23239400.989999998</v>
      </c>
      <c r="W10" s="53">
        <f>V10/30.38%*31.84%</f>
        <v>24356238.562264644</v>
      </c>
      <c r="X10" s="52">
        <v>188231000</v>
      </c>
      <c r="Y10" s="52">
        <v>229090765.77000001</v>
      </c>
      <c r="Z10" s="52">
        <v>40642573.539999999</v>
      </c>
      <c r="AA10" s="52">
        <v>-1971091.88</v>
      </c>
      <c r="AB10" s="52">
        <v>11711103.76</v>
      </c>
      <c r="AC10" s="52">
        <v>8968796.5</v>
      </c>
      <c r="AD10" s="52">
        <v>20679900.260000002</v>
      </c>
      <c r="AE10" s="52">
        <f t="shared" si="9"/>
        <v>13682195.640000001</v>
      </c>
      <c r="AF10" s="50">
        <f t="shared" si="3"/>
        <v>-167551099.74000001</v>
      </c>
      <c r="AG10" s="50">
        <f t="shared" si="4"/>
        <v>10.986447641461822</v>
      </c>
      <c r="AH10" s="52">
        <f t="shared" si="5"/>
        <v>-208410865.51000002</v>
      </c>
      <c r="AI10" s="50">
        <f t="shared" ref="AI10:AI59" si="15">AD10/Y10%</f>
        <v>9.0269462370045837</v>
      </c>
      <c r="AJ10" s="52" t="e">
        <f>AD10-#REF!</f>
        <v>#REF!</v>
      </c>
      <c r="AK10" s="52" t="e">
        <f>IF(#REF!=0,0,AD10/#REF!*100)</f>
        <v>#REF!</v>
      </c>
      <c r="AL10" s="50">
        <f t="shared" si="10"/>
        <v>-19962673.279999997</v>
      </c>
      <c r="AM10" s="50">
        <f t="shared" si="11"/>
        <v>50.882359208004033</v>
      </c>
      <c r="AN10" s="52">
        <f t="shared" si="12"/>
        <v>-3676338.302264642</v>
      </c>
      <c r="AO10" s="50">
        <f t="shared" ref="AO10:AO59" si="16">AD10/W10%</f>
        <v>84.905968576114915</v>
      </c>
      <c r="AP10" s="52">
        <f t="shared" ref="AP10:AP20" si="17">AD10-M10</f>
        <v>-38155549.835543215</v>
      </c>
      <c r="AQ10" s="52">
        <f t="shared" ref="AQ10:AQ20" si="18">IF(M10=0,0,AD10/M10*100)</f>
        <v>35.148707499335508</v>
      </c>
      <c r="AR10" s="54" t="e">
        <f>#REF!</f>
        <v>#REF!</v>
      </c>
    </row>
    <row r="11" spans="1:44" s="10" customFormat="1" ht="61.5" customHeight="1" x14ac:dyDescent="0.3">
      <c r="A11" s="9"/>
      <c r="B11" s="93" t="s">
        <v>26</v>
      </c>
      <c r="C11" s="93"/>
      <c r="D11" s="93"/>
      <c r="E11" s="93"/>
      <c r="F11" s="93"/>
      <c r="G11" s="93"/>
      <c r="H11" s="93"/>
      <c r="I11" s="93"/>
      <c r="J11" s="12">
        <v>20275547.789999999</v>
      </c>
      <c r="K11" s="12">
        <f>J11</f>
        <v>20275547.789999999</v>
      </c>
      <c r="L11" s="12">
        <v>7893925.1100000003</v>
      </c>
      <c r="M11" s="12">
        <f>L11</f>
        <v>7893925.1100000003</v>
      </c>
      <c r="N11" s="12">
        <v>24357274.23</v>
      </c>
      <c r="O11" s="12">
        <v>25632828.5</v>
      </c>
      <c r="P11" s="12">
        <f>O11</f>
        <v>25632828.5</v>
      </c>
      <c r="Q11" s="12">
        <v>25632828.5</v>
      </c>
      <c r="R11" s="12">
        <f>Q11</f>
        <v>25632828.5</v>
      </c>
      <c r="S11" s="12">
        <v>30550000</v>
      </c>
      <c r="T11" s="12">
        <f>30672664.63+10.25</f>
        <v>30672674.879999999</v>
      </c>
      <c r="U11" s="12">
        <f>T11</f>
        <v>30672674.879999999</v>
      </c>
      <c r="V11" s="12">
        <v>4781490.1500000004</v>
      </c>
      <c r="W11" s="12">
        <f>V11</f>
        <v>4781490.1500000004</v>
      </c>
      <c r="X11" s="12">
        <v>28603900</v>
      </c>
      <c r="Y11" s="12">
        <v>28603900</v>
      </c>
      <c r="Z11" s="12">
        <v>6444768.2800000003</v>
      </c>
      <c r="AA11" s="12">
        <v>0</v>
      </c>
      <c r="AB11" s="12">
        <v>371324.23</v>
      </c>
      <c r="AC11" s="12">
        <v>3636493.2800000003</v>
      </c>
      <c r="AD11" s="12">
        <v>4007817.51</v>
      </c>
      <c r="AE11" s="12">
        <f t="shared" si="9"/>
        <v>371324.23</v>
      </c>
      <c r="AF11" s="50">
        <f t="shared" si="3"/>
        <v>-24596082.490000002</v>
      </c>
      <c r="AG11" s="50">
        <f t="shared" si="4"/>
        <v>14.011437286523865</v>
      </c>
      <c r="AH11" s="12">
        <f t="shared" si="5"/>
        <v>-24596082.490000002</v>
      </c>
      <c r="AI11" s="50">
        <f t="shared" si="15"/>
        <v>14.011437286523865</v>
      </c>
      <c r="AJ11" s="12" t="e">
        <f>AD11-#REF!</f>
        <v>#REF!</v>
      </c>
      <c r="AK11" s="12" t="e">
        <f>IF(#REF!=0,0,AD11/#REF!*100)</f>
        <v>#REF!</v>
      </c>
      <c r="AL11" s="50">
        <f t="shared" si="10"/>
        <v>-2436950.7700000005</v>
      </c>
      <c r="AM11" s="50">
        <f t="shared" si="11"/>
        <v>62.187146781326938</v>
      </c>
      <c r="AN11" s="12">
        <f t="shared" si="12"/>
        <v>-773672.6400000006</v>
      </c>
      <c r="AO11" s="50">
        <v>0</v>
      </c>
      <c r="AP11" s="12">
        <f t="shared" si="17"/>
        <v>-3886107.6000000006</v>
      </c>
      <c r="AQ11" s="12">
        <f t="shared" si="18"/>
        <v>50.77090869436941</v>
      </c>
      <c r="AR11" s="39">
        <v>24865000</v>
      </c>
    </row>
    <row r="12" spans="1:44" s="10" customFormat="1" ht="45.75" customHeight="1" x14ac:dyDescent="0.3">
      <c r="A12" s="9"/>
      <c r="B12" s="65"/>
      <c r="C12" s="65"/>
      <c r="D12" s="65"/>
      <c r="E12" s="65"/>
      <c r="F12" s="65"/>
      <c r="G12" s="65"/>
      <c r="H12" s="65"/>
      <c r="I12" s="65" t="s">
        <v>50</v>
      </c>
      <c r="J12" s="12">
        <v>0</v>
      </c>
      <c r="K12" s="12">
        <f t="shared" ref="K12:K13" si="19">J12</f>
        <v>0</v>
      </c>
      <c r="L12" s="12">
        <v>0</v>
      </c>
      <c r="M12" s="42">
        <f t="shared" ref="M12" si="20">L12</f>
        <v>0</v>
      </c>
      <c r="N12" s="12">
        <v>8810490.5399999991</v>
      </c>
      <c r="O12" s="12">
        <v>9529840.7599999998</v>
      </c>
      <c r="P12" s="12">
        <f t="shared" ref="P12:P15" si="21">O12</f>
        <v>9529840.7599999998</v>
      </c>
      <c r="Q12" s="12">
        <v>9529840.7599999998</v>
      </c>
      <c r="R12" s="12">
        <f>Q12</f>
        <v>9529840.7599999998</v>
      </c>
      <c r="S12" s="12">
        <v>10726300</v>
      </c>
      <c r="T12" s="12">
        <v>11350712.029999999</v>
      </c>
      <c r="U12" s="12">
        <f>T12</f>
        <v>11350712.029999999</v>
      </c>
      <c r="V12" s="12">
        <v>987703.27</v>
      </c>
      <c r="W12" s="12">
        <f>V12</f>
        <v>987703.27</v>
      </c>
      <c r="X12" s="12">
        <v>11972000</v>
      </c>
      <c r="Y12" s="12">
        <v>11972000</v>
      </c>
      <c r="Z12" s="12">
        <v>1964769.13</v>
      </c>
      <c r="AA12" s="12">
        <v>-91761.96</v>
      </c>
      <c r="AB12" s="12">
        <v>154455.26</v>
      </c>
      <c r="AC12" s="12">
        <v>-12265.580000000002</v>
      </c>
      <c r="AD12" s="12">
        <f t="shared" si="8"/>
        <v>142189.68</v>
      </c>
      <c r="AE12" s="12">
        <f t="shared" si="9"/>
        <v>246217.22000000003</v>
      </c>
      <c r="AF12" s="50">
        <f t="shared" si="3"/>
        <v>-11829810.32</v>
      </c>
      <c r="AG12" s="50">
        <f t="shared" si="4"/>
        <v>1.1876852656197794</v>
      </c>
      <c r="AH12" s="12">
        <f t="shared" si="5"/>
        <v>-11829810.32</v>
      </c>
      <c r="AI12" s="50">
        <f t="shared" si="15"/>
        <v>1.1876852656197794</v>
      </c>
      <c r="AJ12" s="12" t="e">
        <f>AD12-#REF!</f>
        <v>#REF!</v>
      </c>
      <c r="AK12" s="12" t="e">
        <f>IF(#REF!=0,0,AD12/#REF!*100)</f>
        <v>#REF!</v>
      </c>
      <c r="AL12" s="50">
        <f t="shared" si="10"/>
        <v>-1822579.45</v>
      </c>
      <c r="AM12" s="50">
        <f t="shared" si="11"/>
        <v>7.2369663096243775</v>
      </c>
      <c r="AN12" s="12">
        <f t="shared" si="12"/>
        <v>-845513.59000000008</v>
      </c>
      <c r="AO12" s="50">
        <f t="shared" si="16"/>
        <v>14.395991622058718</v>
      </c>
      <c r="AP12" s="12">
        <f t="shared" si="17"/>
        <v>142189.68</v>
      </c>
      <c r="AQ12" s="12">
        <f t="shared" si="18"/>
        <v>0</v>
      </c>
      <c r="AR12" s="39">
        <f>AD12</f>
        <v>142189.68</v>
      </c>
    </row>
    <row r="13" spans="1:44" s="10" customFormat="1" ht="45.75" customHeight="1" x14ac:dyDescent="0.3">
      <c r="A13" s="9"/>
      <c r="B13" s="93" t="s">
        <v>25</v>
      </c>
      <c r="C13" s="93"/>
      <c r="D13" s="93"/>
      <c r="E13" s="93"/>
      <c r="F13" s="93"/>
      <c r="G13" s="93"/>
      <c r="H13" s="93"/>
      <c r="I13" s="93"/>
      <c r="J13" s="12">
        <v>11880184.26</v>
      </c>
      <c r="K13" s="12">
        <f t="shared" si="19"/>
        <v>11880184.26</v>
      </c>
      <c r="L13" s="12">
        <v>5414678.8600000003</v>
      </c>
      <c r="M13" s="42">
        <f>L13</f>
        <v>5414678.8600000003</v>
      </c>
      <c r="N13" s="12">
        <v>2900000</v>
      </c>
      <c r="O13" s="12">
        <v>2940555.44</v>
      </c>
      <c r="P13" s="12">
        <f t="shared" si="21"/>
        <v>2940555.44</v>
      </c>
      <c r="Q13" s="12">
        <v>2940555.44</v>
      </c>
      <c r="R13" s="41">
        <f>U13</f>
        <v>222622.04</v>
      </c>
      <c r="S13" s="12">
        <v>9947.76</v>
      </c>
      <c r="T13" s="12">
        <v>222622.04</v>
      </c>
      <c r="U13" s="12">
        <f t="shared" ref="U13:W15" si="22">T13</f>
        <v>222622.04</v>
      </c>
      <c r="V13" s="12">
        <v>55095.79</v>
      </c>
      <c r="W13" s="12">
        <f t="shared" si="22"/>
        <v>55095.79</v>
      </c>
      <c r="X13" s="12">
        <v>8000</v>
      </c>
      <c r="Y13" s="12">
        <v>8000</v>
      </c>
      <c r="Z13" s="12">
        <v>1000</v>
      </c>
      <c r="AA13" s="12">
        <v>1189.52</v>
      </c>
      <c r="AB13" s="12">
        <v>2142.91</v>
      </c>
      <c r="AC13" s="12">
        <v>-425992.69</v>
      </c>
      <c r="AD13" s="12">
        <f t="shared" si="8"/>
        <v>-423849.78</v>
      </c>
      <c r="AE13" s="12">
        <f t="shared" si="9"/>
        <v>953.38999999999987</v>
      </c>
      <c r="AF13" s="50">
        <f t="shared" si="3"/>
        <v>-431849.78</v>
      </c>
      <c r="AG13" s="50">
        <f t="shared" si="4"/>
        <v>-5298.1222500000003</v>
      </c>
      <c r="AH13" s="12">
        <f t="shared" si="5"/>
        <v>-431849.78</v>
      </c>
      <c r="AI13" s="50">
        <f t="shared" si="15"/>
        <v>-5298.1222500000003</v>
      </c>
      <c r="AJ13" s="12" t="e">
        <f>AD13-#REF!</f>
        <v>#REF!</v>
      </c>
      <c r="AK13" s="12" t="e">
        <f>IF(#REF!=0,0,AD13/#REF!*100)</f>
        <v>#REF!</v>
      </c>
      <c r="AL13" s="50">
        <f t="shared" si="10"/>
        <v>-424849.78</v>
      </c>
      <c r="AM13" s="50">
        <v>0</v>
      </c>
      <c r="AN13" s="12">
        <f t="shared" si="12"/>
        <v>-478945.57</v>
      </c>
      <c r="AO13" s="50">
        <f t="shared" si="16"/>
        <v>-769.29612952278205</v>
      </c>
      <c r="AP13" s="12">
        <f t="shared" si="17"/>
        <v>-5838528.6400000006</v>
      </c>
      <c r="AQ13" s="12">
        <f t="shared" si="18"/>
        <v>-7.8277916559579674</v>
      </c>
      <c r="AR13" s="39">
        <f>AD13</f>
        <v>-423849.78</v>
      </c>
    </row>
    <row r="14" spans="1:44" s="10" customFormat="1" ht="30.75" customHeight="1" x14ac:dyDescent="0.3">
      <c r="A14" s="9"/>
      <c r="B14" s="93" t="s">
        <v>24</v>
      </c>
      <c r="C14" s="93"/>
      <c r="D14" s="93"/>
      <c r="E14" s="93"/>
      <c r="F14" s="93"/>
      <c r="G14" s="93"/>
      <c r="H14" s="93"/>
      <c r="I14" s="93"/>
      <c r="J14" s="12">
        <v>11042346.74</v>
      </c>
      <c r="K14" s="12">
        <f>J14</f>
        <v>11042346.74</v>
      </c>
      <c r="L14" s="12">
        <v>3567077.86</v>
      </c>
      <c r="M14" s="12">
        <f>L14</f>
        <v>3567077.86</v>
      </c>
      <c r="N14" s="12">
        <v>12675114.5</v>
      </c>
      <c r="O14" s="12">
        <v>12731516.73</v>
      </c>
      <c r="P14" s="12">
        <f>O14</f>
        <v>12731516.73</v>
      </c>
      <c r="Q14" s="12">
        <v>12731516.73</v>
      </c>
      <c r="R14" s="12">
        <f>Q14</f>
        <v>12731516.73</v>
      </c>
      <c r="S14" s="12">
        <v>5292297</v>
      </c>
      <c r="T14" s="12">
        <v>5296262.9000000004</v>
      </c>
      <c r="U14" s="12">
        <f>T14</f>
        <v>5296262.9000000004</v>
      </c>
      <c r="V14" s="12">
        <v>448143.41</v>
      </c>
      <c r="W14" s="12">
        <f>V14</f>
        <v>448143.41</v>
      </c>
      <c r="X14" s="12">
        <v>5814000</v>
      </c>
      <c r="Y14" s="12">
        <v>5814000</v>
      </c>
      <c r="Z14" s="12">
        <v>2494100.66</v>
      </c>
      <c r="AA14" s="12">
        <v>-91891.22</v>
      </c>
      <c r="AB14" s="12">
        <v>-6767</v>
      </c>
      <c r="AC14" s="12">
        <v>307580.57999999996</v>
      </c>
      <c r="AD14" s="12">
        <f t="shared" si="8"/>
        <v>300813.57999999996</v>
      </c>
      <c r="AE14" s="12">
        <f t="shared" si="9"/>
        <v>85124.22</v>
      </c>
      <c r="AF14" s="50">
        <f t="shared" si="3"/>
        <v>-5513186.4199999999</v>
      </c>
      <c r="AG14" s="50">
        <f t="shared" si="4"/>
        <v>5.1739521843825242</v>
      </c>
      <c r="AH14" s="12">
        <f t="shared" si="5"/>
        <v>-5513186.4199999999</v>
      </c>
      <c r="AI14" s="50">
        <f t="shared" si="15"/>
        <v>5.1739521843825242</v>
      </c>
      <c r="AJ14" s="12" t="e">
        <f>AD14-#REF!</f>
        <v>#REF!</v>
      </c>
      <c r="AK14" s="12" t="e">
        <f>IF(#REF!=0,0,AD14/#REF!*100)</f>
        <v>#REF!</v>
      </c>
      <c r="AL14" s="50">
        <f t="shared" si="10"/>
        <v>-2193287.08</v>
      </c>
      <c r="AM14" s="50">
        <f t="shared" si="11"/>
        <v>12.061003985300255</v>
      </c>
      <c r="AN14" s="12">
        <f t="shared" si="12"/>
        <v>-147329.83000000002</v>
      </c>
      <c r="AO14" s="50">
        <f t="shared" si="16"/>
        <v>67.12440109294478</v>
      </c>
      <c r="AP14" s="12">
        <f t="shared" si="17"/>
        <v>-3266264.28</v>
      </c>
      <c r="AQ14" s="12">
        <f t="shared" si="18"/>
        <v>8.4330533788797091</v>
      </c>
      <c r="AR14" s="39">
        <f>AD14</f>
        <v>300813.57999999996</v>
      </c>
    </row>
    <row r="15" spans="1:44" s="10" customFormat="1" ht="42.75" customHeight="1" x14ac:dyDescent="0.3">
      <c r="A15" s="9"/>
      <c r="B15" s="93" t="s">
        <v>23</v>
      </c>
      <c r="C15" s="93"/>
      <c r="D15" s="93"/>
      <c r="E15" s="93"/>
      <c r="F15" s="93"/>
      <c r="G15" s="93"/>
      <c r="H15" s="93"/>
      <c r="I15" s="93"/>
      <c r="J15" s="12">
        <v>199821.72</v>
      </c>
      <c r="K15" s="12">
        <f t="shared" ref="K15" si="23">J15</f>
        <v>199821.72</v>
      </c>
      <c r="L15" s="12">
        <v>141824.35999999999</v>
      </c>
      <c r="M15" s="12">
        <f t="shared" ref="M15" si="24">L15</f>
        <v>141824.35999999999</v>
      </c>
      <c r="N15" s="12">
        <v>4514274.29</v>
      </c>
      <c r="O15" s="12">
        <v>6011745.4100000001</v>
      </c>
      <c r="P15" s="12">
        <f t="shared" si="21"/>
        <v>6011745.4100000001</v>
      </c>
      <c r="Q15" s="12">
        <v>6011745.4100000001</v>
      </c>
      <c r="R15" s="12">
        <f t="shared" ref="R15" si="25">Q15</f>
        <v>6011745.4100000001</v>
      </c>
      <c r="S15" s="12">
        <v>5191300</v>
      </c>
      <c r="T15" s="12">
        <v>7445903.21</v>
      </c>
      <c r="U15" s="12">
        <f t="shared" si="22"/>
        <v>7445903.21</v>
      </c>
      <c r="V15" s="12">
        <v>790378.44</v>
      </c>
      <c r="W15" s="12">
        <f t="shared" si="22"/>
        <v>790378.44</v>
      </c>
      <c r="X15" s="12">
        <v>8168000</v>
      </c>
      <c r="Y15" s="12">
        <v>8168000</v>
      </c>
      <c r="Z15" s="12">
        <v>3521650.92</v>
      </c>
      <c r="AA15" s="12">
        <v>-191770.79</v>
      </c>
      <c r="AB15" s="12">
        <v>55459.91</v>
      </c>
      <c r="AC15" s="12">
        <v>-373907.17999999988</v>
      </c>
      <c r="AD15" s="12">
        <f t="shared" si="8"/>
        <v>-318447.2699999999</v>
      </c>
      <c r="AE15" s="12">
        <f t="shared" si="9"/>
        <v>247230.7</v>
      </c>
      <c r="AF15" s="50">
        <f t="shared" si="3"/>
        <v>-8486447.2699999996</v>
      </c>
      <c r="AG15" s="50">
        <f t="shared" si="4"/>
        <v>-3.8987178011753172</v>
      </c>
      <c r="AH15" s="12">
        <f t="shared" si="5"/>
        <v>-8486447.2699999996</v>
      </c>
      <c r="AI15" s="50">
        <f t="shared" si="15"/>
        <v>-3.8987178011753172</v>
      </c>
      <c r="AJ15" s="12" t="e">
        <f>AD15-#REF!</f>
        <v>#REF!</v>
      </c>
      <c r="AK15" s="12" t="e">
        <f>IF(#REF!=0,0,AD15/#REF!*100)</f>
        <v>#REF!</v>
      </c>
      <c r="AL15" s="50">
        <f t="shared" si="10"/>
        <v>-3840098.19</v>
      </c>
      <c r="AM15" s="50">
        <f t="shared" si="11"/>
        <v>-9.0425563814825782</v>
      </c>
      <c r="AN15" s="12">
        <f t="shared" si="12"/>
        <v>-1108825.71</v>
      </c>
      <c r="AO15" s="50">
        <f t="shared" si="16"/>
        <v>-40.290480342555895</v>
      </c>
      <c r="AP15" s="12">
        <f t="shared" si="17"/>
        <v>-460271.62999999989</v>
      </c>
      <c r="AQ15" s="12">
        <f t="shared" si="18"/>
        <v>-224.53637019761624</v>
      </c>
      <c r="AR15" s="39">
        <f>AD15</f>
        <v>-318447.2699999999</v>
      </c>
    </row>
    <row r="16" spans="1:44" s="10" customFormat="1" ht="26.25" customHeight="1" x14ac:dyDescent="0.3">
      <c r="A16" s="9"/>
      <c r="B16" s="93" t="s">
        <v>22</v>
      </c>
      <c r="C16" s="93"/>
      <c r="D16" s="93"/>
      <c r="E16" s="93"/>
      <c r="F16" s="93"/>
      <c r="G16" s="93"/>
      <c r="H16" s="93"/>
      <c r="I16" s="93"/>
      <c r="J16" s="12">
        <v>12135551.99</v>
      </c>
      <c r="K16" s="12">
        <f>J16</f>
        <v>12135551.99</v>
      </c>
      <c r="L16" s="12">
        <v>1160678.8899999999</v>
      </c>
      <c r="M16" s="12">
        <f>L16</f>
        <v>1160678.8899999999</v>
      </c>
      <c r="N16" s="12">
        <v>10267000</v>
      </c>
      <c r="O16" s="12">
        <v>10646674.66</v>
      </c>
      <c r="P16" s="12">
        <f>O16</f>
        <v>10646674.66</v>
      </c>
      <c r="Q16" s="12">
        <v>10646674.66</v>
      </c>
      <c r="R16" s="12">
        <f>Q16</f>
        <v>10646674.66</v>
      </c>
      <c r="S16" s="12">
        <v>10337374.24</v>
      </c>
      <c r="T16" s="12">
        <v>11630065.210000001</v>
      </c>
      <c r="U16" s="12">
        <f>T16</f>
        <v>11630065.210000001</v>
      </c>
      <c r="V16" s="12">
        <v>1051368.24</v>
      </c>
      <c r="W16" s="12">
        <f>V16</f>
        <v>1051368.24</v>
      </c>
      <c r="X16" s="12">
        <v>15443000</v>
      </c>
      <c r="Y16" s="12">
        <v>15443000</v>
      </c>
      <c r="Z16" s="12">
        <v>1634619.07</v>
      </c>
      <c r="AA16" s="12">
        <v>-67351.7</v>
      </c>
      <c r="AB16" s="12">
        <v>81076.899999999994</v>
      </c>
      <c r="AC16" s="12">
        <v>-363479.07</v>
      </c>
      <c r="AD16" s="12">
        <f t="shared" si="8"/>
        <v>-282402.17000000004</v>
      </c>
      <c r="AE16" s="12">
        <f t="shared" si="9"/>
        <v>148428.59999999998</v>
      </c>
      <c r="AF16" s="50">
        <f t="shared" si="3"/>
        <v>-15725402.17</v>
      </c>
      <c r="AG16" s="50">
        <f t="shared" si="4"/>
        <v>-1.8286742860843104</v>
      </c>
      <c r="AH16" s="12">
        <f t="shared" si="5"/>
        <v>-15725402.17</v>
      </c>
      <c r="AI16" s="50">
        <f t="shared" si="15"/>
        <v>-1.8286742860843104</v>
      </c>
      <c r="AJ16" s="12" t="e">
        <f>AD16-#REF!</f>
        <v>#REF!</v>
      </c>
      <c r="AK16" s="12" t="e">
        <f>IF(#REF!=0,0,AD16/#REF!*100)</f>
        <v>#REF!</v>
      </c>
      <c r="AL16" s="50">
        <f t="shared" si="10"/>
        <v>-1917021.2400000002</v>
      </c>
      <c r="AM16" s="50">
        <f t="shared" si="11"/>
        <v>-17.276329096050496</v>
      </c>
      <c r="AN16" s="12">
        <f t="shared" si="12"/>
        <v>-1333770.4100000001</v>
      </c>
      <c r="AO16" s="50">
        <f t="shared" si="16"/>
        <v>-26.860443301958604</v>
      </c>
      <c r="AP16" s="12">
        <f t="shared" si="17"/>
        <v>-1443081.06</v>
      </c>
      <c r="AQ16" s="12">
        <f t="shared" si="18"/>
        <v>-24.33077506906325</v>
      </c>
      <c r="AR16" s="39">
        <v>11117000</v>
      </c>
    </row>
    <row r="17" spans="1:44" s="10" customFormat="1" ht="18.75" x14ac:dyDescent="0.3">
      <c r="A17" s="9"/>
      <c r="B17" s="93" t="s">
        <v>20</v>
      </c>
      <c r="C17" s="93"/>
      <c r="D17" s="93"/>
      <c r="E17" s="93"/>
      <c r="F17" s="93"/>
      <c r="G17" s="93"/>
      <c r="H17" s="93"/>
      <c r="I17" s="93"/>
      <c r="J17" s="12">
        <f t="shared" ref="J17:AB17" si="26">J18+J19</f>
        <v>59077329.089999996</v>
      </c>
      <c r="K17" s="12">
        <f t="shared" si="26"/>
        <v>59077329.089999996</v>
      </c>
      <c r="L17" s="12">
        <f t="shared" si="26"/>
        <v>13651268.75</v>
      </c>
      <c r="M17" s="12">
        <f t="shared" si="26"/>
        <v>13651268.75</v>
      </c>
      <c r="N17" s="12">
        <f t="shared" si="26"/>
        <v>57000020</v>
      </c>
      <c r="O17" s="12">
        <f t="shared" si="26"/>
        <v>59153838.839999996</v>
      </c>
      <c r="P17" s="12">
        <f t="shared" si="26"/>
        <v>59153838.839999996</v>
      </c>
      <c r="Q17" s="12">
        <v>59153838.839999996</v>
      </c>
      <c r="R17" s="12">
        <f t="shared" si="26"/>
        <v>59153838.839999996</v>
      </c>
      <c r="S17" s="12">
        <f t="shared" ref="S17" si="27">S18+S19</f>
        <v>54827104.629999995</v>
      </c>
      <c r="T17" s="12">
        <f>T18+T19</f>
        <v>56910468.460000008</v>
      </c>
      <c r="U17" s="12">
        <f t="shared" ref="U17:V17" si="28">U18+U19</f>
        <v>56910468.460000008</v>
      </c>
      <c r="V17" s="12">
        <f t="shared" si="28"/>
        <v>6717738.4299999997</v>
      </c>
      <c r="W17" s="12">
        <f t="shared" ref="W17:X17" si="29">W18+W19</f>
        <v>6717738.4299999997</v>
      </c>
      <c r="X17" s="12">
        <f t="shared" si="29"/>
        <v>57489000</v>
      </c>
      <c r="Y17" s="12">
        <f t="shared" si="26"/>
        <v>57489000</v>
      </c>
      <c r="Z17" s="12">
        <f t="shared" si="26"/>
        <v>8017307.71</v>
      </c>
      <c r="AA17" s="12">
        <v>63608.61</v>
      </c>
      <c r="AB17" s="12">
        <f t="shared" si="26"/>
        <v>3335348.31</v>
      </c>
      <c r="AC17" s="12">
        <v>-1394424.89</v>
      </c>
      <c r="AD17" s="12">
        <f t="shared" si="8"/>
        <v>1940923.4200000002</v>
      </c>
      <c r="AE17" s="12">
        <f t="shared" si="9"/>
        <v>3271739.7</v>
      </c>
      <c r="AF17" s="50">
        <f t="shared" si="3"/>
        <v>-55548076.579999998</v>
      </c>
      <c r="AG17" s="50">
        <f t="shared" si="4"/>
        <v>3.3761648663222532</v>
      </c>
      <c r="AH17" s="12">
        <f t="shared" si="5"/>
        <v>-55548076.579999998</v>
      </c>
      <c r="AI17" s="50">
        <f t="shared" si="15"/>
        <v>3.3761648663222532</v>
      </c>
      <c r="AJ17" s="12" t="e">
        <f>AD17-#REF!</f>
        <v>#REF!</v>
      </c>
      <c r="AK17" s="12" t="e">
        <f>IF(#REF!=0,0,AD17/#REF!*100)</f>
        <v>#REF!</v>
      </c>
      <c r="AL17" s="50">
        <f t="shared" si="10"/>
        <v>-6076384.29</v>
      </c>
      <c r="AM17" s="50">
        <f t="shared" si="11"/>
        <v>24.2091670945732</v>
      </c>
      <c r="AN17" s="12">
        <f t="shared" si="12"/>
        <v>-4776815.01</v>
      </c>
      <c r="AO17" s="50">
        <f t="shared" si="16"/>
        <v>28.892512565423011</v>
      </c>
      <c r="AP17" s="12">
        <f t="shared" si="17"/>
        <v>-11710345.33</v>
      </c>
      <c r="AQ17" s="12">
        <f t="shared" si="18"/>
        <v>14.217897658779885</v>
      </c>
      <c r="AR17" s="39">
        <f>AR18+AR19</f>
        <v>1940923.42</v>
      </c>
    </row>
    <row r="18" spans="1:44" s="5" customFormat="1" ht="64.5" customHeight="1" x14ac:dyDescent="0.3">
      <c r="A18" s="4"/>
      <c r="B18" s="46"/>
      <c r="C18" s="46"/>
      <c r="D18" s="46"/>
      <c r="E18" s="46"/>
      <c r="F18" s="46"/>
      <c r="G18" s="46"/>
      <c r="H18" s="46"/>
      <c r="I18" s="62" t="s">
        <v>36</v>
      </c>
      <c r="J18" s="13">
        <v>22311739.960000001</v>
      </c>
      <c r="K18" s="13">
        <f>J18</f>
        <v>22311739.960000001</v>
      </c>
      <c r="L18" s="13">
        <v>10085616.51</v>
      </c>
      <c r="M18" s="13">
        <f>L18</f>
        <v>10085616.51</v>
      </c>
      <c r="N18" s="13">
        <v>24357548.02</v>
      </c>
      <c r="O18" s="13">
        <v>25159321.25</v>
      </c>
      <c r="P18" s="13">
        <f>O18</f>
        <v>25159321.25</v>
      </c>
      <c r="Q18" s="48">
        <v>25159321.25</v>
      </c>
      <c r="R18" s="13">
        <f>Q18</f>
        <v>25159321.25</v>
      </c>
      <c r="S18" s="59">
        <v>22374391.359999999</v>
      </c>
      <c r="T18" s="13">
        <v>22769251.010000002</v>
      </c>
      <c r="U18" s="13">
        <f>T18</f>
        <v>22769251.010000002</v>
      </c>
      <c r="V18" s="59">
        <f>3965963.21+60326.64+3744.12+1713.88+26452</f>
        <v>4058199.85</v>
      </c>
      <c r="W18" s="13">
        <f>V18</f>
        <v>4058199.85</v>
      </c>
      <c r="X18" s="76">
        <v>23363753.050000001</v>
      </c>
      <c r="Y18" s="76">
        <v>23363753.050000001</v>
      </c>
      <c r="Z18" s="17">
        <v>4815896.3</v>
      </c>
      <c r="AA18" s="13">
        <v>6.73</v>
      </c>
      <c r="AB18" s="13">
        <v>3038547.69</v>
      </c>
      <c r="AC18" s="13">
        <v>16002.31</v>
      </c>
      <c r="AD18" s="13">
        <f t="shared" si="8"/>
        <v>3054550</v>
      </c>
      <c r="AE18" s="13">
        <f t="shared" si="9"/>
        <v>3038540.96</v>
      </c>
      <c r="AF18" s="50">
        <f t="shared" si="3"/>
        <v>-20309203.050000001</v>
      </c>
      <c r="AG18" s="50">
        <f t="shared" si="4"/>
        <v>13.073884120684967</v>
      </c>
      <c r="AH18" s="13">
        <f t="shared" si="5"/>
        <v>-20309203.050000001</v>
      </c>
      <c r="AI18" s="50">
        <f t="shared" si="15"/>
        <v>13.073884120684969</v>
      </c>
      <c r="AJ18" s="13" t="e">
        <f>AD18-#REF!</f>
        <v>#REF!</v>
      </c>
      <c r="AK18" s="13" t="e">
        <f>IF(#REF!=0,0,AD18/#REF!*100)</f>
        <v>#REF!</v>
      </c>
      <c r="AL18" s="50">
        <f t="shared" si="10"/>
        <v>-1761346.2999999998</v>
      </c>
      <c r="AM18" s="50">
        <f t="shared" si="11"/>
        <v>63.426407250504958</v>
      </c>
      <c r="AN18" s="13">
        <f t="shared" si="12"/>
        <v>-1003649.8500000001</v>
      </c>
      <c r="AO18" s="50">
        <f t="shared" si="16"/>
        <v>75.26859476868789</v>
      </c>
      <c r="AP18" s="13">
        <f t="shared" si="17"/>
        <v>-7031066.5099999998</v>
      </c>
      <c r="AQ18" s="13">
        <f t="shared" si="18"/>
        <v>30.286200124418571</v>
      </c>
      <c r="AR18" s="36">
        <f>AD18</f>
        <v>3054550</v>
      </c>
    </row>
    <row r="19" spans="1:44" s="5" customFormat="1" ht="63.75" customHeight="1" x14ac:dyDescent="0.3">
      <c r="A19" s="4"/>
      <c r="B19" s="46" t="s">
        <v>8</v>
      </c>
      <c r="C19" s="46" t="s">
        <v>21</v>
      </c>
      <c r="D19" s="46" t="s">
        <v>20</v>
      </c>
      <c r="E19" s="46"/>
      <c r="F19" s="46"/>
      <c r="G19" s="6"/>
      <c r="H19" s="6"/>
      <c r="I19" s="62" t="s">
        <v>37</v>
      </c>
      <c r="J19" s="13">
        <v>36765589.129999995</v>
      </c>
      <c r="K19" s="13">
        <f>J19</f>
        <v>36765589.129999995</v>
      </c>
      <c r="L19" s="13">
        <v>3565652.24</v>
      </c>
      <c r="M19" s="13">
        <f>L19</f>
        <v>3565652.24</v>
      </c>
      <c r="N19" s="13">
        <v>32642471.98</v>
      </c>
      <c r="O19" s="13">
        <v>33994517.589999996</v>
      </c>
      <c r="P19" s="13">
        <f>O19</f>
        <v>33994517.589999996</v>
      </c>
      <c r="Q19" s="13">
        <v>33994517.589999996</v>
      </c>
      <c r="R19" s="13">
        <f>Q19</f>
        <v>33994517.589999996</v>
      </c>
      <c r="S19" s="59">
        <v>32452713.27</v>
      </c>
      <c r="T19" s="13">
        <v>34141217.450000003</v>
      </c>
      <c r="U19" s="13">
        <f>T19</f>
        <v>34141217.450000003</v>
      </c>
      <c r="V19" s="59">
        <f>2611575.02+47963.56</f>
        <v>2659538.58</v>
      </c>
      <c r="W19" s="13">
        <f>V19</f>
        <v>2659538.58</v>
      </c>
      <c r="X19" s="76">
        <v>34125246.950000003</v>
      </c>
      <c r="Y19" s="76">
        <v>34125246.950000003</v>
      </c>
      <c r="Z19" s="17">
        <v>3201411.41</v>
      </c>
      <c r="AA19" s="13">
        <v>63601.88</v>
      </c>
      <c r="AB19" s="13">
        <v>296800.62</v>
      </c>
      <c r="AC19" s="13">
        <v>-1410427.2000000002</v>
      </c>
      <c r="AD19" s="13">
        <f t="shared" si="8"/>
        <v>-1113626.58</v>
      </c>
      <c r="AE19" s="13">
        <f t="shared" si="9"/>
        <v>233198.74</v>
      </c>
      <c r="AF19" s="50">
        <f t="shared" si="3"/>
        <v>-35238873.530000001</v>
      </c>
      <c r="AG19" s="50">
        <f t="shared" si="4"/>
        <v>-3.2633509777428875</v>
      </c>
      <c r="AH19" s="13">
        <f t="shared" si="5"/>
        <v>-35238873.530000001</v>
      </c>
      <c r="AI19" s="50">
        <f t="shared" si="15"/>
        <v>-3.263350977742888</v>
      </c>
      <c r="AJ19" s="13" t="e">
        <f>AD19-#REF!</f>
        <v>#REF!</v>
      </c>
      <c r="AK19" s="13" t="e">
        <f>IF(#REF!=0,0,AD19/#REF!*100)</f>
        <v>#REF!</v>
      </c>
      <c r="AL19" s="50">
        <f t="shared" si="10"/>
        <v>-4315037.99</v>
      </c>
      <c r="AM19" s="50">
        <f t="shared" si="11"/>
        <v>-34.78548794201992</v>
      </c>
      <c r="AN19" s="13">
        <f t="shared" si="12"/>
        <v>-3773165.16</v>
      </c>
      <c r="AO19" s="50">
        <f t="shared" si="16"/>
        <v>-41.872924437892536</v>
      </c>
      <c r="AP19" s="13">
        <f t="shared" si="17"/>
        <v>-4679278.82</v>
      </c>
      <c r="AQ19" s="13">
        <f t="shared" si="18"/>
        <v>-31.232058121293399</v>
      </c>
      <c r="AR19" s="36">
        <f>AD19</f>
        <v>-1113626.58</v>
      </c>
    </row>
    <row r="20" spans="1:44" s="10" customFormat="1" ht="29.25" customHeight="1" x14ac:dyDescent="0.3">
      <c r="A20" s="9"/>
      <c r="B20" s="93" t="s">
        <v>19</v>
      </c>
      <c r="C20" s="93"/>
      <c r="D20" s="93"/>
      <c r="E20" s="93"/>
      <c r="F20" s="93"/>
      <c r="G20" s="93"/>
      <c r="H20" s="93"/>
      <c r="I20" s="93"/>
      <c r="J20" s="12">
        <v>7183566.0899999999</v>
      </c>
      <c r="K20" s="12">
        <f>J20</f>
        <v>7183566.0899999999</v>
      </c>
      <c r="L20" s="12">
        <v>3074019.46</v>
      </c>
      <c r="M20" s="12">
        <f>L20</f>
        <v>3074019.46</v>
      </c>
      <c r="N20" s="12">
        <v>6803299.9900000002</v>
      </c>
      <c r="O20" s="12">
        <v>7312231.8200000003</v>
      </c>
      <c r="P20" s="12">
        <f>O20</f>
        <v>7312231.8200000003</v>
      </c>
      <c r="Q20" s="12">
        <v>7312231.8200000003</v>
      </c>
      <c r="R20" s="12">
        <f>Q20</f>
        <v>7312231.8200000003</v>
      </c>
      <c r="S20" s="12">
        <v>6908000</v>
      </c>
      <c r="T20" s="12">
        <v>7412267.6299999999</v>
      </c>
      <c r="U20" s="12">
        <f>T20</f>
        <v>7412267.6299999999</v>
      </c>
      <c r="V20" s="12">
        <v>1137543.6599999999</v>
      </c>
      <c r="W20" s="12">
        <f>V20</f>
        <v>1137543.6599999999</v>
      </c>
      <c r="X20" s="12">
        <v>7706000</v>
      </c>
      <c r="Y20" s="12">
        <v>7706000</v>
      </c>
      <c r="Z20" s="12">
        <v>1843873.71</v>
      </c>
      <c r="AA20" s="12">
        <v>97228.92</v>
      </c>
      <c r="AB20" s="12">
        <v>75059.97</v>
      </c>
      <c r="AC20" s="12">
        <v>753276.39000000013</v>
      </c>
      <c r="AD20" s="12">
        <f t="shared" si="8"/>
        <v>828336.3600000001</v>
      </c>
      <c r="AE20" s="12">
        <f t="shared" si="9"/>
        <v>-22168.949999999997</v>
      </c>
      <c r="AF20" s="50">
        <f t="shared" si="3"/>
        <v>-6877663.6399999997</v>
      </c>
      <c r="AG20" s="50">
        <f t="shared" si="4"/>
        <v>10.749239034518558</v>
      </c>
      <c r="AH20" s="12">
        <f t="shared" si="5"/>
        <v>-6877663.6399999997</v>
      </c>
      <c r="AI20" s="50">
        <f t="shared" si="15"/>
        <v>10.749239034518558</v>
      </c>
      <c r="AJ20" s="12" t="e">
        <f>AD20-#REF!</f>
        <v>#REF!</v>
      </c>
      <c r="AK20" s="12" t="e">
        <f>IF(#REF!=0,0,AD20/#REF!*100)</f>
        <v>#REF!</v>
      </c>
      <c r="AL20" s="50">
        <f t="shared" si="10"/>
        <v>-1015537.3499999999</v>
      </c>
      <c r="AM20" s="50">
        <f t="shared" si="11"/>
        <v>44.923703587053154</v>
      </c>
      <c r="AN20" s="12">
        <f t="shared" si="12"/>
        <v>-309207.29999999981</v>
      </c>
      <c r="AO20" s="50">
        <f t="shared" si="16"/>
        <v>72.817983970830639</v>
      </c>
      <c r="AP20" s="12">
        <f t="shared" si="17"/>
        <v>-2245683.0999999996</v>
      </c>
      <c r="AQ20" s="12">
        <f t="shared" si="18"/>
        <v>26.946360320048207</v>
      </c>
      <c r="AR20" s="39">
        <f>AD20</f>
        <v>828336.3600000001</v>
      </c>
    </row>
    <row r="21" spans="1:44" s="10" customFormat="1" ht="62.25" customHeight="1" x14ac:dyDescent="0.3">
      <c r="A21" s="9"/>
      <c r="B21" s="96" t="s">
        <v>63</v>
      </c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7"/>
      <c r="N21" s="12"/>
      <c r="O21" s="12"/>
      <c r="P21" s="12">
        <v>0</v>
      </c>
      <c r="Q21" s="12"/>
      <c r="R21" s="12">
        <v>0</v>
      </c>
      <c r="S21" s="12">
        <v>0</v>
      </c>
      <c r="T21" s="12">
        <v>-18.84</v>
      </c>
      <c r="U21" s="12">
        <f>T21</f>
        <v>-18.84</v>
      </c>
      <c r="V21" s="12">
        <v>0</v>
      </c>
      <c r="W21" s="12">
        <f>V21</f>
        <v>0</v>
      </c>
      <c r="X21" s="12">
        <v>0</v>
      </c>
      <c r="Y21" s="12">
        <v>0</v>
      </c>
      <c r="Z21" s="12">
        <v>0</v>
      </c>
      <c r="AA21" s="12">
        <v>0</v>
      </c>
      <c r="AB21" s="12">
        <v>0</v>
      </c>
      <c r="AC21" s="12">
        <v>0</v>
      </c>
      <c r="AD21" s="12">
        <f t="shared" si="8"/>
        <v>0</v>
      </c>
      <c r="AE21" s="12">
        <v>0</v>
      </c>
      <c r="AF21" s="50">
        <f t="shared" si="3"/>
        <v>0</v>
      </c>
      <c r="AG21" s="50">
        <v>0</v>
      </c>
      <c r="AH21" s="12">
        <f t="shared" si="5"/>
        <v>0</v>
      </c>
      <c r="AI21" s="50">
        <v>0</v>
      </c>
      <c r="AJ21" s="12"/>
      <c r="AK21" s="12"/>
      <c r="AL21" s="50">
        <f t="shared" si="10"/>
        <v>0</v>
      </c>
      <c r="AM21" s="50">
        <v>0</v>
      </c>
      <c r="AN21" s="12">
        <f t="shared" si="12"/>
        <v>0</v>
      </c>
      <c r="AO21" s="50">
        <v>0</v>
      </c>
      <c r="AP21" s="12"/>
      <c r="AQ21" s="12"/>
      <c r="AR21" s="39"/>
    </row>
    <row r="22" spans="1:44" s="10" customFormat="1" ht="37.5" customHeight="1" x14ac:dyDescent="0.3">
      <c r="A22" s="9"/>
      <c r="B22" s="77"/>
      <c r="C22" s="77"/>
      <c r="D22" s="77"/>
      <c r="E22" s="77"/>
      <c r="F22" s="77"/>
      <c r="G22" s="77"/>
      <c r="H22" s="77"/>
      <c r="I22" s="84" t="s">
        <v>85</v>
      </c>
      <c r="J22" s="84"/>
      <c r="K22" s="84"/>
      <c r="L22" s="84"/>
      <c r="M22" s="85"/>
      <c r="N22" s="81"/>
      <c r="O22" s="81"/>
      <c r="P22" s="81"/>
      <c r="Q22" s="81"/>
      <c r="R22" s="81"/>
      <c r="S22" s="81"/>
      <c r="T22" s="81">
        <f>T23+T33+T34+T42+T45+T47</f>
        <v>87288552.75</v>
      </c>
      <c r="U22" s="81">
        <f t="shared" ref="U22:AD22" si="30">U23+U33+U34+U42+U45+U47</f>
        <v>87288552.75</v>
      </c>
      <c r="V22" s="81">
        <f t="shared" si="30"/>
        <v>8722172.7200000025</v>
      </c>
      <c r="W22" s="81">
        <f t="shared" si="30"/>
        <v>8722172.7200000025</v>
      </c>
      <c r="X22" s="81">
        <f t="shared" si="30"/>
        <v>76980199.650000006</v>
      </c>
      <c r="Y22" s="81">
        <f t="shared" si="30"/>
        <v>78802708.450000003</v>
      </c>
      <c r="Z22" s="81">
        <f t="shared" si="30"/>
        <v>13399110.150000002</v>
      </c>
      <c r="AA22" s="81">
        <v>1344528.97</v>
      </c>
      <c r="AB22" s="81">
        <f t="shared" si="30"/>
        <v>1357541.97</v>
      </c>
      <c r="AC22" s="81">
        <v>9840822.2800000012</v>
      </c>
      <c r="AD22" s="81">
        <f t="shared" si="30"/>
        <v>11198364.25</v>
      </c>
      <c r="AE22" s="81">
        <f t="shared" ref="AE22" si="31">AB22-AA22</f>
        <v>13013</v>
      </c>
      <c r="AF22" s="82">
        <f t="shared" ref="AF22" si="32">AD22-X22</f>
        <v>-65781835.400000006</v>
      </c>
      <c r="AG22" s="82">
        <f t="shared" ref="AG22" si="33">AD22/X22*100</f>
        <v>14.547070936311869</v>
      </c>
      <c r="AH22" s="81">
        <f t="shared" ref="AH22" si="34">AD22-Y22</f>
        <v>-67604344.200000003</v>
      </c>
      <c r="AI22" s="82">
        <f t="shared" ref="AI22" si="35">AD22/Y22%</f>
        <v>14.210633708237728</v>
      </c>
      <c r="AJ22" s="81" t="e">
        <f>AD22-#REF!</f>
        <v>#REF!</v>
      </c>
      <c r="AK22" s="81" t="e">
        <f>IF(#REF!=0,0,AD22/#REF!*100)</f>
        <v>#REF!</v>
      </c>
      <c r="AL22" s="82">
        <f t="shared" ref="AL22" si="36">AD22-Z22</f>
        <v>-2200745.9000000022</v>
      </c>
      <c r="AM22" s="82">
        <f t="shared" ref="AM22" si="37">AD22/Z22*100</f>
        <v>83.575432432727609</v>
      </c>
      <c r="AN22" s="81">
        <f t="shared" ref="AN22" si="38">AD22-W22</f>
        <v>2476191.5299999975</v>
      </c>
      <c r="AO22" s="82">
        <f t="shared" ref="AO22" si="39">AD22/W22%</f>
        <v>128.3896181546838</v>
      </c>
      <c r="AP22" s="12"/>
      <c r="AQ22" s="12"/>
      <c r="AR22" s="39"/>
    </row>
    <row r="23" spans="1:44" s="10" customFormat="1" ht="83.25" customHeight="1" x14ac:dyDescent="0.3">
      <c r="A23" s="9"/>
      <c r="B23" s="93" t="s">
        <v>17</v>
      </c>
      <c r="C23" s="93"/>
      <c r="D23" s="93"/>
      <c r="E23" s="93"/>
      <c r="F23" s="93"/>
      <c r="G23" s="93"/>
      <c r="H23" s="93"/>
      <c r="I23" s="93"/>
      <c r="J23" s="66">
        <f t="shared" ref="J23:AB23" si="40">J24+J27+J29+J31</f>
        <v>39449619.330000006</v>
      </c>
      <c r="K23" s="66">
        <f t="shared" si="40"/>
        <v>39449619.330000006</v>
      </c>
      <c r="L23" s="66">
        <f t="shared" si="40"/>
        <v>10238465.989999998</v>
      </c>
      <c r="M23" s="66">
        <f t="shared" si="40"/>
        <v>10238465.989999998</v>
      </c>
      <c r="N23" s="12">
        <f t="shared" si="40"/>
        <v>42188190.339999996</v>
      </c>
      <c r="O23" s="12">
        <f t="shared" si="40"/>
        <v>49536681.379999995</v>
      </c>
      <c r="P23" s="12">
        <f t="shared" si="40"/>
        <v>49536681.379999988</v>
      </c>
      <c r="Q23" s="12">
        <v>49536681.379999995</v>
      </c>
      <c r="R23" s="12">
        <f>R24+R27+R29+R31</f>
        <v>49536681.379999995</v>
      </c>
      <c r="S23" s="12">
        <f t="shared" ref="S23" si="41">S24+S27+S29+S31</f>
        <v>44769945.039999999</v>
      </c>
      <c r="T23" s="12">
        <f>T24+T27+T29+T31</f>
        <v>46932434.269999996</v>
      </c>
      <c r="U23" s="12">
        <f>U24+U27+U29+U31</f>
        <v>46932434.269999996</v>
      </c>
      <c r="V23" s="12">
        <f t="shared" ref="V23" si="42">V24+V27+V29+V31</f>
        <v>2203565.9000000004</v>
      </c>
      <c r="W23" s="12">
        <f>W24+W27+W29+W31</f>
        <v>2203565.9000000004</v>
      </c>
      <c r="X23" s="12">
        <f t="shared" ref="X23" si="43">X24+X27+X29+X31</f>
        <v>47029000</v>
      </c>
      <c r="Y23" s="12">
        <f t="shared" si="40"/>
        <v>47029000</v>
      </c>
      <c r="Z23" s="12">
        <f t="shared" si="40"/>
        <v>4973403.53</v>
      </c>
      <c r="AA23" s="12">
        <v>656376.5</v>
      </c>
      <c r="AB23" s="12">
        <f t="shared" si="40"/>
        <v>272498.13000000006</v>
      </c>
      <c r="AC23" s="12">
        <v>2293991.31</v>
      </c>
      <c r="AD23" s="12">
        <f t="shared" si="8"/>
        <v>2566489.44</v>
      </c>
      <c r="AE23" s="12">
        <f t="shared" si="9"/>
        <v>-383878.36999999994</v>
      </c>
      <c r="AF23" s="50">
        <f t="shared" si="3"/>
        <v>-44462510.560000002</v>
      </c>
      <c r="AG23" s="50">
        <f t="shared" si="4"/>
        <v>5.4572485912947322</v>
      </c>
      <c r="AH23" s="12">
        <f t="shared" si="5"/>
        <v>-44462510.560000002</v>
      </c>
      <c r="AI23" s="50">
        <f t="shared" si="15"/>
        <v>5.4572485912947331</v>
      </c>
      <c r="AJ23" s="12" t="e">
        <f>AD23-#REF!</f>
        <v>#REF!</v>
      </c>
      <c r="AK23" s="12" t="e">
        <f>IF(#REF!=0,0,AD23/#REF!*100)</f>
        <v>#REF!</v>
      </c>
      <c r="AL23" s="50">
        <f t="shared" si="10"/>
        <v>-2406914.0900000003</v>
      </c>
      <c r="AM23" s="50">
        <f t="shared" si="11"/>
        <v>51.604287175145025</v>
      </c>
      <c r="AN23" s="12">
        <f t="shared" si="12"/>
        <v>362923.53999999957</v>
      </c>
      <c r="AO23" s="50">
        <f t="shared" si="16"/>
        <v>116.46982919821002</v>
      </c>
      <c r="AP23" s="12">
        <f>AD23-M23</f>
        <v>-7671976.5499999989</v>
      </c>
      <c r="AQ23" s="12">
        <f>IF(M23=0,0,AD23/M23*100)</f>
        <v>25.067128635351359</v>
      </c>
      <c r="AR23" s="39">
        <f>AR24+AR27+AR29+AR31</f>
        <v>2566489.44</v>
      </c>
    </row>
    <row r="24" spans="1:44" s="5" customFormat="1" ht="114.75" customHeight="1" x14ac:dyDescent="0.3">
      <c r="A24" s="4"/>
      <c r="B24" s="46"/>
      <c r="C24" s="46"/>
      <c r="D24" s="46"/>
      <c r="E24" s="46"/>
      <c r="F24" s="46"/>
      <c r="G24" s="46"/>
      <c r="H24" s="46"/>
      <c r="I24" s="62" t="s">
        <v>18</v>
      </c>
      <c r="J24" s="13">
        <v>38437093.690000005</v>
      </c>
      <c r="K24" s="13">
        <f>J24</f>
        <v>38437093.690000005</v>
      </c>
      <c r="L24" s="13">
        <v>9868144.6099999994</v>
      </c>
      <c r="M24" s="13">
        <f>L24</f>
        <v>9868144.6099999994</v>
      </c>
      <c r="N24" s="19">
        <v>41197224.380000003</v>
      </c>
      <c r="O24" s="13">
        <v>47695088.119999997</v>
      </c>
      <c r="P24" s="13">
        <f>P25+P26</f>
        <v>47792284.159999996</v>
      </c>
      <c r="Q24" s="13">
        <v>47695088.119999997</v>
      </c>
      <c r="R24" s="13">
        <f>Q24</f>
        <v>47695088.119999997</v>
      </c>
      <c r="S24" s="13">
        <f t="shared" ref="S24:Z24" si="44">S25+S26</f>
        <v>42050829.689999998</v>
      </c>
      <c r="T24" s="13">
        <f t="shared" si="44"/>
        <v>44043460.589999996</v>
      </c>
      <c r="U24" s="13">
        <f t="shared" si="44"/>
        <v>44043460.589999996</v>
      </c>
      <c r="V24" s="13">
        <f t="shared" si="44"/>
        <v>1971350.9300000002</v>
      </c>
      <c r="W24" s="13">
        <f t="shared" si="44"/>
        <v>1971350.9300000002</v>
      </c>
      <c r="X24" s="13">
        <f t="shared" si="44"/>
        <v>46880510</v>
      </c>
      <c r="Y24" s="13">
        <f t="shared" si="44"/>
        <v>46880510</v>
      </c>
      <c r="Z24" s="13">
        <f t="shared" si="44"/>
        <v>4968627.53</v>
      </c>
      <c r="AA24" s="13">
        <v>655876.5</v>
      </c>
      <c r="AB24" s="13">
        <f t="shared" ref="AB24" si="45">AB25+AB26</f>
        <v>230840.71000000002</v>
      </c>
      <c r="AC24" s="13">
        <v>1979181.98</v>
      </c>
      <c r="AD24" s="13">
        <f t="shared" si="8"/>
        <v>2210022.69</v>
      </c>
      <c r="AE24" s="13">
        <f>AB24-AA24</f>
        <v>-425035.79</v>
      </c>
      <c r="AF24" s="50">
        <f t="shared" si="3"/>
        <v>-44670487.310000002</v>
      </c>
      <c r="AG24" s="50">
        <f t="shared" si="4"/>
        <v>4.7141609380955964</v>
      </c>
      <c r="AH24" s="12">
        <f t="shared" si="5"/>
        <v>-44670487.310000002</v>
      </c>
      <c r="AI24" s="50">
        <f t="shared" si="15"/>
        <v>4.7141609380955964</v>
      </c>
      <c r="AJ24" s="13" t="e">
        <f>AD24-#REF!</f>
        <v>#REF!</v>
      </c>
      <c r="AK24" s="12" t="e">
        <f>IF(#REF!=0,0,AD24/#REF!*100)</f>
        <v>#REF!</v>
      </c>
      <c r="AL24" s="50">
        <f t="shared" si="10"/>
        <v>-2758604.8400000003</v>
      </c>
      <c r="AM24" s="50">
        <f t="shared" si="11"/>
        <v>44.479540409421666</v>
      </c>
      <c r="AN24" s="13">
        <f t="shared" si="12"/>
        <v>238671.75999999978</v>
      </c>
      <c r="AO24" s="50">
        <f t="shared" si="16"/>
        <v>112.10701536534643</v>
      </c>
      <c r="AP24" s="12">
        <f>AD24-M24</f>
        <v>-7658121.9199999999</v>
      </c>
      <c r="AQ24" s="12">
        <f>IF(M24=0,0,AD24/M24*100)</f>
        <v>22.395523954527864</v>
      </c>
      <c r="AR24" s="36">
        <f>AD24</f>
        <v>2210022.69</v>
      </c>
    </row>
    <row r="25" spans="1:44" s="5" customFormat="1" ht="37.5" customHeight="1" x14ac:dyDescent="0.3">
      <c r="A25" s="4"/>
      <c r="B25" s="46"/>
      <c r="C25" s="46"/>
      <c r="D25" s="46"/>
      <c r="E25" s="46"/>
      <c r="F25" s="46"/>
      <c r="G25" s="46"/>
      <c r="H25" s="46"/>
      <c r="I25" s="69" t="s">
        <v>74</v>
      </c>
      <c r="J25" s="13"/>
      <c r="K25" s="13"/>
      <c r="L25" s="13"/>
      <c r="M25" s="13"/>
      <c r="N25" s="19"/>
      <c r="O25" s="13"/>
      <c r="P25" s="13">
        <v>34814978.960000001</v>
      </c>
      <c r="Q25" s="13"/>
      <c r="R25" s="13">
        <f>Q25</f>
        <v>0</v>
      </c>
      <c r="S25" s="13">
        <v>28869411.559999999</v>
      </c>
      <c r="T25" s="12">
        <v>29761276.809999999</v>
      </c>
      <c r="U25" s="12">
        <v>29761276.809999999</v>
      </c>
      <c r="V25" s="13">
        <v>0</v>
      </c>
      <c r="W25" s="12">
        <f>V25</f>
        <v>0</v>
      </c>
      <c r="X25" s="13">
        <v>34696660</v>
      </c>
      <c r="Y25" s="13">
        <v>34696660</v>
      </c>
      <c r="Z25" s="13">
        <v>4337082.5</v>
      </c>
      <c r="AA25" s="13">
        <v>0</v>
      </c>
      <c r="AB25" s="13">
        <v>213412.54</v>
      </c>
      <c r="AC25" s="12">
        <v>552592.36</v>
      </c>
      <c r="AD25" s="12">
        <f t="shared" si="8"/>
        <v>766004.9</v>
      </c>
      <c r="AE25" s="13">
        <f>AB25-AA25</f>
        <v>213412.54</v>
      </c>
      <c r="AF25" s="50">
        <f t="shared" si="3"/>
        <v>-33930655.100000001</v>
      </c>
      <c r="AG25" s="50">
        <f t="shared" si="4"/>
        <v>2.207719417373315</v>
      </c>
      <c r="AH25" s="12">
        <f t="shared" si="5"/>
        <v>-33930655.100000001</v>
      </c>
      <c r="AI25" s="50">
        <f t="shared" si="15"/>
        <v>2.207719417373315</v>
      </c>
      <c r="AJ25" s="13"/>
      <c r="AK25" s="12"/>
      <c r="AL25" s="50">
        <f t="shared" si="10"/>
        <v>-3571077.6</v>
      </c>
      <c r="AM25" s="50">
        <v>0</v>
      </c>
      <c r="AN25" s="13">
        <f t="shared" si="12"/>
        <v>766004.9</v>
      </c>
      <c r="AO25" s="50">
        <v>0</v>
      </c>
      <c r="AP25" s="12"/>
      <c r="AQ25" s="12"/>
      <c r="AR25" s="36"/>
    </row>
    <row r="26" spans="1:44" s="5" customFormat="1" ht="38.25" customHeight="1" x14ac:dyDescent="0.3">
      <c r="A26" s="4"/>
      <c r="B26" s="46"/>
      <c r="C26" s="46"/>
      <c r="D26" s="46"/>
      <c r="E26" s="46"/>
      <c r="F26" s="46"/>
      <c r="G26" s="46"/>
      <c r="H26" s="46"/>
      <c r="I26" s="69" t="s">
        <v>70</v>
      </c>
      <c r="J26" s="13"/>
      <c r="K26" s="13"/>
      <c r="L26" s="13"/>
      <c r="M26" s="13"/>
      <c r="N26" s="19"/>
      <c r="O26" s="13"/>
      <c r="P26" s="13">
        <v>12977305.199999999</v>
      </c>
      <c r="Q26" s="13"/>
      <c r="R26" s="13">
        <f>Q26</f>
        <v>0</v>
      </c>
      <c r="S26" s="13">
        <v>13181418.130000001</v>
      </c>
      <c r="T26" s="12">
        <v>14282183.779999999</v>
      </c>
      <c r="U26" s="12">
        <v>14282183.779999999</v>
      </c>
      <c r="V26" s="17">
        <f>1251492.02+719858.91</f>
        <v>1971350.9300000002</v>
      </c>
      <c r="W26" s="12">
        <f>V26</f>
        <v>1971350.9300000002</v>
      </c>
      <c r="X26" s="13">
        <v>12183850</v>
      </c>
      <c r="Y26" s="13">
        <v>12183850</v>
      </c>
      <c r="Z26" s="13">
        <v>631545.03</v>
      </c>
      <c r="AA26" s="13">
        <v>655876.5</v>
      </c>
      <c r="AB26" s="13">
        <v>17428.169999999998</v>
      </c>
      <c r="AC26" s="12">
        <v>1426589.62</v>
      </c>
      <c r="AD26" s="12">
        <f t="shared" si="8"/>
        <v>1444017.79</v>
      </c>
      <c r="AE26" s="13">
        <f>AB26-AA26</f>
        <v>-638448.32999999996</v>
      </c>
      <c r="AF26" s="50">
        <f t="shared" si="3"/>
        <v>-10739832.210000001</v>
      </c>
      <c r="AG26" s="50">
        <f t="shared" si="4"/>
        <v>11.851900589715074</v>
      </c>
      <c r="AH26" s="12">
        <f t="shared" si="5"/>
        <v>-10739832.210000001</v>
      </c>
      <c r="AI26" s="50">
        <f t="shared" si="15"/>
        <v>11.851900589715074</v>
      </c>
      <c r="AJ26" s="13"/>
      <c r="AK26" s="12"/>
      <c r="AL26" s="50">
        <f t="shared" si="10"/>
        <v>812472.76</v>
      </c>
      <c r="AM26" s="50">
        <f t="shared" si="11"/>
        <v>228.64842907559577</v>
      </c>
      <c r="AN26" s="13">
        <f t="shared" si="12"/>
        <v>-527333.14000000013</v>
      </c>
      <c r="AO26" s="50">
        <f t="shared" si="16"/>
        <v>73.250164038525597</v>
      </c>
      <c r="AP26" s="12"/>
      <c r="AQ26" s="12"/>
      <c r="AR26" s="36"/>
    </row>
    <row r="27" spans="1:44" s="5" customFormat="1" ht="69.75" customHeight="1" x14ac:dyDescent="0.3">
      <c r="A27" s="4"/>
      <c r="B27" s="46"/>
      <c r="C27" s="46"/>
      <c r="D27" s="46"/>
      <c r="E27" s="46"/>
      <c r="F27" s="46"/>
      <c r="G27" s="6"/>
      <c r="H27" s="6"/>
      <c r="I27" s="62" t="s">
        <v>38</v>
      </c>
      <c r="J27" s="13">
        <v>939401.44</v>
      </c>
      <c r="K27" s="13">
        <f>J27</f>
        <v>939401.44</v>
      </c>
      <c r="L27" s="13">
        <v>333725.84000000003</v>
      </c>
      <c r="M27" s="13">
        <f>L27</f>
        <v>333725.84000000003</v>
      </c>
      <c r="N27" s="13">
        <v>811765.62</v>
      </c>
      <c r="O27" s="13">
        <v>1628476.84</v>
      </c>
      <c r="P27" s="13">
        <f>P28</f>
        <v>1531280.8</v>
      </c>
      <c r="Q27" s="13">
        <v>1628476.84</v>
      </c>
      <c r="R27" s="13">
        <f>Q27</f>
        <v>1628476.84</v>
      </c>
      <c r="S27" s="13">
        <f t="shared" ref="S27:Z27" si="46">S28</f>
        <v>1794725.01</v>
      </c>
      <c r="T27" s="13">
        <f t="shared" si="46"/>
        <v>1903605.01</v>
      </c>
      <c r="U27" s="13">
        <f t="shared" si="46"/>
        <v>1903605.01</v>
      </c>
      <c r="V27" s="13">
        <f t="shared" si="46"/>
        <v>225928.45</v>
      </c>
      <c r="W27" s="13">
        <f t="shared" si="46"/>
        <v>225928.45</v>
      </c>
      <c r="X27" s="13">
        <f t="shared" si="46"/>
        <v>100490</v>
      </c>
      <c r="Y27" s="13">
        <f t="shared" si="46"/>
        <v>100490</v>
      </c>
      <c r="Z27" s="13">
        <f t="shared" si="46"/>
        <v>4776</v>
      </c>
      <c r="AA27" s="13">
        <v>0</v>
      </c>
      <c r="AB27" s="13">
        <f>AB28</f>
        <v>34274.339999999997</v>
      </c>
      <c r="AC27" s="13">
        <v>168183.34</v>
      </c>
      <c r="AD27" s="13">
        <f t="shared" si="8"/>
        <v>202457.68</v>
      </c>
      <c r="AE27" s="13">
        <f t="shared" si="9"/>
        <v>34274.339999999997</v>
      </c>
      <c r="AF27" s="50">
        <f t="shared" si="3"/>
        <v>101967.67999999999</v>
      </c>
      <c r="AG27" s="50">
        <f t="shared" si="4"/>
        <v>201.47047467409692</v>
      </c>
      <c r="AH27" s="12">
        <f t="shared" si="5"/>
        <v>101967.67999999999</v>
      </c>
      <c r="AI27" s="50">
        <f t="shared" si="15"/>
        <v>201.47047467409692</v>
      </c>
      <c r="AJ27" s="13" t="e">
        <f>AD27-#REF!</f>
        <v>#REF!</v>
      </c>
      <c r="AK27" s="12" t="e">
        <f>IF(#REF!=0,0,AD27/#REF!*100)</f>
        <v>#REF!</v>
      </c>
      <c r="AL27" s="50">
        <f t="shared" si="10"/>
        <v>197681.68</v>
      </c>
      <c r="AM27" s="50">
        <v>0</v>
      </c>
      <c r="AN27" s="13">
        <f t="shared" si="12"/>
        <v>-23470.770000000019</v>
      </c>
      <c r="AO27" s="50">
        <v>0</v>
      </c>
      <c r="AP27" s="12">
        <f>AD27-M27</f>
        <v>-131268.16000000003</v>
      </c>
      <c r="AQ27" s="12">
        <f>IF(M27=0,0,AD27/M27*100)</f>
        <v>60.665868726257457</v>
      </c>
      <c r="AR27" s="36">
        <f>AD27</f>
        <v>202457.68</v>
      </c>
    </row>
    <row r="28" spans="1:44" s="5" customFormat="1" ht="43.5" customHeight="1" x14ac:dyDescent="0.3">
      <c r="A28" s="4"/>
      <c r="B28" s="21"/>
      <c r="C28" s="21"/>
      <c r="D28" s="21"/>
      <c r="E28" s="21"/>
      <c r="F28" s="21"/>
      <c r="G28" s="70"/>
      <c r="H28" s="70"/>
      <c r="I28" s="69" t="s">
        <v>70</v>
      </c>
      <c r="J28" s="13"/>
      <c r="K28" s="13"/>
      <c r="L28" s="13"/>
      <c r="M28" s="13"/>
      <c r="N28" s="13"/>
      <c r="O28" s="13"/>
      <c r="P28" s="17">
        <v>1531280.8</v>
      </c>
      <c r="Q28" s="17"/>
      <c r="R28" s="13">
        <f>Q28</f>
        <v>0</v>
      </c>
      <c r="S28" s="17">
        <v>1794725.01</v>
      </c>
      <c r="T28" s="12">
        <v>1903605.01</v>
      </c>
      <c r="U28" s="17">
        <f>T28</f>
        <v>1903605.01</v>
      </c>
      <c r="V28" s="17">
        <f>2388+64130.41+159410.04</f>
        <v>225928.45</v>
      </c>
      <c r="W28" s="17">
        <f>V28</f>
        <v>225928.45</v>
      </c>
      <c r="X28" s="17">
        <v>100490</v>
      </c>
      <c r="Y28" s="17">
        <v>100490</v>
      </c>
      <c r="Z28" s="17">
        <v>4776</v>
      </c>
      <c r="AA28" s="13">
        <v>0</v>
      </c>
      <c r="AB28" s="13">
        <f>11730+22544.34</f>
        <v>34274.339999999997</v>
      </c>
      <c r="AC28" s="12">
        <v>168183.34</v>
      </c>
      <c r="AD28" s="12">
        <f t="shared" si="8"/>
        <v>202457.68</v>
      </c>
      <c r="AE28" s="13">
        <f>AB28-AA28</f>
        <v>34274.339999999997</v>
      </c>
      <c r="AF28" s="50">
        <f t="shared" si="3"/>
        <v>101967.67999999999</v>
      </c>
      <c r="AG28" s="50">
        <f t="shared" si="4"/>
        <v>201.47047467409692</v>
      </c>
      <c r="AH28" s="12">
        <f t="shared" si="5"/>
        <v>101967.67999999999</v>
      </c>
      <c r="AI28" s="50">
        <f t="shared" si="15"/>
        <v>201.47047467409692</v>
      </c>
      <c r="AJ28" s="17"/>
      <c r="AK28" s="42"/>
      <c r="AL28" s="50">
        <f t="shared" si="10"/>
        <v>197681.68</v>
      </c>
      <c r="AM28" s="50">
        <v>0</v>
      </c>
      <c r="AN28" s="13">
        <f t="shared" si="12"/>
        <v>-23470.770000000019</v>
      </c>
      <c r="AO28" s="50">
        <v>0</v>
      </c>
      <c r="AP28" s="12"/>
      <c r="AQ28" s="12"/>
      <c r="AR28" s="36"/>
    </row>
    <row r="29" spans="1:44" s="10" customFormat="1" ht="48" customHeight="1" x14ac:dyDescent="0.3">
      <c r="A29" s="9"/>
      <c r="B29" s="93" t="s">
        <v>16</v>
      </c>
      <c r="C29" s="93"/>
      <c r="D29" s="93"/>
      <c r="E29" s="93"/>
      <c r="F29" s="93"/>
      <c r="G29" s="93"/>
      <c r="H29" s="93"/>
      <c r="I29" s="93"/>
      <c r="J29" s="12">
        <f t="shared" ref="J29:AB29" si="47">J30</f>
        <v>13500</v>
      </c>
      <c r="K29" s="12">
        <f t="shared" si="47"/>
        <v>13500</v>
      </c>
      <c r="L29" s="12">
        <f t="shared" si="47"/>
        <v>13500</v>
      </c>
      <c r="M29" s="12">
        <f t="shared" si="47"/>
        <v>13500</v>
      </c>
      <c r="N29" s="12">
        <f t="shared" si="47"/>
        <v>145882.54999999999</v>
      </c>
      <c r="O29" s="12">
        <f t="shared" si="47"/>
        <v>145882.54999999999</v>
      </c>
      <c r="P29" s="12">
        <f t="shared" si="47"/>
        <v>145882.54999999999</v>
      </c>
      <c r="Q29" s="12">
        <v>145882.54999999999</v>
      </c>
      <c r="R29" s="12">
        <f t="shared" si="47"/>
        <v>145882.54999999999</v>
      </c>
      <c r="S29" s="12">
        <f t="shared" si="47"/>
        <v>0</v>
      </c>
      <c r="T29" s="12">
        <f t="shared" si="47"/>
        <v>0</v>
      </c>
      <c r="U29" s="12">
        <f>U30</f>
        <v>0</v>
      </c>
      <c r="V29" s="12">
        <f t="shared" si="47"/>
        <v>0</v>
      </c>
      <c r="W29" s="12">
        <f>W30</f>
        <v>0</v>
      </c>
      <c r="X29" s="12">
        <f t="shared" si="47"/>
        <v>0</v>
      </c>
      <c r="Y29" s="12">
        <f t="shared" si="47"/>
        <v>0</v>
      </c>
      <c r="Z29" s="12">
        <f t="shared" si="47"/>
        <v>0</v>
      </c>
      <c r="AA29" s="12">
        <v>0</v>
      </c>
      <c r="AB29" s="12">
        <f t="shared" si="47"/>
        <v>0</v>
      </c>
      <c r="AC29" s="12">
        <v>0</v>
      </c>
      <c r="AD29" s="12">
        <f t="shared" si="8"/>
        <v>0</v>
      </c>
      <c r="AE29" s="12">
        <f t="shared" si="9"/>
        <v>0</v>
      </c>
      <c r="AF29" s="50">
        <f t="shared" si="3"/>
        <v>0</v>
      </c>
      <c r="AG29" s="50">
        <v>0</v>
      </c>
      <c r="AH29" s="12">
        <f t="shared" si="5"/>
        <v>0</v>
      </c>
      <c r="AI29" s="50">
        <v>0</v>
      </c>
      <c r="AJ29" s="12" t="e">
        <f>AD29-#REF!</f>
        <v>#REF!</v>
      </c>
      <c r="AK29" s="12" t="e">
        <f>IF(#REF!=0,0,AD29/#REF!*100)</f>
        <v>#REF!</v>
      </c>
      <c r="AL29" s="50">
        <f t="shared" si="10"/>
        <v>0</v>
      </c>
      <c r="AM29" s="50">
        <v>0</v>
      </c>
      <c r="AN29" s="12">
        <f t="shared" si="12"/>
        <v>0</v>
      </c>
      <c r="AO29" s="50">
        <v>0</v>
      </c>
      <c r="AP29" s="12">
        <f t="shared" ref="AP29:AP35" si="48">AD29-M29</f>
        <v>-13500</v>
      </c>
      <c r="AQ29" s="12">
        <f t="shared" ref="AQ29:AQ35" si="49">IF(M29=0,0,AD29/M29*100)</f>
        <v>0</v>
      </c>
      <c r="AR29" s="39">
        <f t="shared" ref="AR29" si="50">AR30</f>
        <v>0</v>
      </c>
    </row>
    <row r="30" spans="1:44" s="5" customFormat="1" ht="84.75" customHeight="1" x14ac:dyDescent="0.3">
      <c r="A30" s="4"/>
      <c r="B30" s="46" t="s">
        <v>8</v>
      </c>
      <c r="C30" s="46" t="s">
        <v>17</v>
      </c>
      <c r="D30" s="46" t="s">
        <v>16</v>
      </c>
      <c r="E30" s="46"/>
      <c r="F30" s="46"/>
      <c r="G30" s="6"/>
      <c r="H30" s="6"/>
      <c r="I30" s="67" t="s">
        <v>15</v>
      </c>
      <c r="J30" s="13">
        <v>13500</v>
      </c>
      <c r="K30" s="13">
        <f>J30</f>
        <v>13500</v>
      </c>
      <c r="L30" s="13">
        <v>13500</v>
      </c>
      <c r="M30" s="13">
        <f>L30</f>
        <v>13500</v>
      </c>
      <c r="N30" s="13">
        <v>145882.54999999999</v>
      </c>
      <c r="O30" s="13">
        <f>145882.55</f>
        <v>145882.54999999999</v>
      </c>
      <c r="P30" s="13">
        <f>O30</f>
        <v>145882.54999999999</v>
      </c>
      <c r="Q30" s="13">
        <v>145882.54999999999</v>
      </c>
      <c r="R30" s="13">
        <f>Q30</f>
        <v>145882.54999999999</v>
      </c>
      <c r="S30" s="13">
        <v>0</v>
      </c>
      <c r="T30" s="13">
        <v>0</v>
      </c>
      <c r="U30" s="13">
        <f>T30</f>
        <v>0</v>
      </c>
      <c r="V30" s="13">
        <v>0</v>
      </c>
      <c r="W30" s="13">
        <f>V30</f>
        <v>0</v>
      </c>
      <c r="X30" s="13">
        <v>0</v>
      </c>
      <c r="Y30" s="13">
        <v>0</v>
      </c>
      <c r="Z30" s="13">
        <v>0</v>
      </c>
      <c r="AA30" s="13">
        <v>0</v>
      </c>
      <c r="AB30" s="13">
        <v>0</v>
      </c>
      <c r="AC30" s="13">
        <v>0</v>
      </c>
      <c r="AD30" s="13">
        <f t="shared" si="8"/>
        <v>0</v>
      </c>
      <c r="AE30" s="13">
        <f t="shared" si="9"/>
        <v>0</v>
      </c>
      <c r="AF30" s="50">
        <f t="shared" si="3"/>
        <v>0</v>
      </c>
      <c r="AG30" s="50">
        <v>0</v>
      </c>
      <c r="AH30" s="12">
        <f t="shared" si="5"/>
        <v>0</v>
      </c>
      <c r="AI30" s="50">
        <v>0</v>
      </c>
      <c r="AJ30" s="13" t="e">
        <f>AD30-#REF!</f>
        <v>#REF!</v>
      </c>
      <c r="AK30" s="12" t="e">
        <f>IF(#REF!=0,0,AD30/#REF!*100)</f>
        <v>#REF!</v>
      </c>
      <c r="AL30" s="50">
        <f t="shared" si="10"/>
        <v>0</v>
      </c>
      <c r="AM30" s="50">
        <v>0</v>
      </c>
      <c r="AN30" s="13">
        <f t="shared" si="12"/>
        <v>0</v>
      </c>
      <c r="AO30" s="50">
        <v>0</v>
      </c>
      <c r="AP30" s="12">
        <f t="shared" si="48"/>
        <v>-13500</v>
      </c>
      <c r="AQ30" s="12">
        <f t="shared" si="49"/>
        <v>0</v>
      </c>
      <c r="AR30" s="36">
        <f>AD30</f>
        <v>0</v>
      </c>
    </row>
    <row r="31" spans="1:44" s="10" customFormat="1" ht="58.5" customHeight="1" x14ac:dyDescent="0.3">
      <c r="A31" s="9"/>
      <c r="B31" s="45"/>
      <c r="C31" s="45"/>
      <c r="D31" s="45"/>
      <c r="E31" s="45"/>
      <c r="F31" s="45"/>
      <c r="G31" s="11"/>
      <c r="H31" s="11"/>
      <c r="I31" s="65" t="s">
        <v>44</v>
      </c>
      <c r="J31" s="12">
        <f t="shared" ref="J31:Z31" si="51">J32</f>
        <v>59624.2</v>
      </c>
      <c r="K31" s="12">
        <f t="shared" si="51"/>
        <v>59624.2</v>
      </c>
      <c r="L31" s="12">
        <f t="shared" si="51"/>
        <v>23095.54</v>
      </c>
      <c r="M31" s="12">
        <f t="shared" si="51"/>
        <v>23095.54</v>
      </c>
      <c r="N31" s="12">
        <f t="shared" si="51"/>
        <v>33317.79</v>
      </c>
      <c r="O31" s="12">
        <f t="shared" si="51"/>
        <v>67233.87</v>
      </c>
      <c r="P31" s="12">
        <f t="shared" si="51"/>
        <v>67233.87</v>
      </c>
      <c r="Q31" s="12">
        <v>67233.87</v>
      </c>
      <c r="R31" s="12">
        <f t="shared" si="51"/>
        <v>67233.87</v>
      </c>
      <c r="S31" s="12">
        <f t="shared" si="51"/>
        <v>924390.34</v>
      </c>
      <c r="T31" s="12">
        <f>T32</f>
        <v>985368.67</v>
      </c>
      <c r="U31" s="12">
        <f t="shared" si="51"/>
        <v>985368.67</v>
      </c>
      <c r="V31" s="12">
        <f t="shared" si="51"/>
        <v>6286.52</v>
      </c>
      <c r="W31" s="12">
        <f t="shared" si="51"/>
        <v>6286.52</v>
      </c>
      <c r="X31" s="12">
        <f t="shared" si="51"/>
        <v>48000</v>
      </c>
      <c r="Y31" s="12">
        <f t="shared" si="51"/>
        <v>48000</v>
      </c>
      <c r="Z31" s="12">
        <f t="shared" si="51"/>
        <v>0</v>
      </c>
      <c r="AA31" s="12">
        <v>500</v>
      </c>
      <c r="AB31" s="12">
        <f>AB32</f>
        <v>7383.08</v>
      </c>
      <c r="AC31" s="12">
        <v>146625.99</v>
      </c>
      <c r="AD31" s="12">
        <f t="shared" si="8"/>
        <v>154009.06999999998</v>
      </c>
      <c r="AE31" s="12">
        <f t="shared" si="9"/>
        <v>6883.08</v>
      </c>
      <c r="AF31" s="50">
        <f t="shared" si="3"/>
        <v>106009.06999999998</v>
      </c>
      <c r="AG31" s="50">
        <v>0</v>
      </c>
      <c r="AH31" s="12">
        <f t="shared" si="5"/>
        <v>106009.06999999998</v>
      </c>
      <c r="AI31" s="50">
        <f t="shared" si="15"/>
        <v>320.85222916666663</v>
      </c>
      <c r="AJ31" s="12" t="e">
        <f>AD31-#REF!</f>
        <v>#REF!</v>
      </c>
      <c r="AK31" s="12" t="e">
        <f>IF(#REF!=0,0,AD31/#REF!*100)</f>
        <v>#REF!</v>
      </c>
      <c r="AL31" s="50">
        <f t="shared" si="10"/>
        <v>154009.06999999998</v>
      </c>
      <c r="AM31" s="50">
        <v>0</v>
      </c>
      <c r="AN31" s="12">
        <f t="shared" si="12"/>
        <v>147722.54999999999</v>
      </c>
      <c r="AO31" s="50">
        <f t="shared" si="16"/>
        <v>2449.8302717560746</v>
      </c>
      <c r="AP31" s="12">
        <f t="shared" si="48"/>
        <v>130913.52999999997</v>
      </c>
      <c r="AQ31" s="12">
        <f t="shared" si="49"/>
        <v>666.83467890337261</v>
      </c>
      <c r="AR31" s="39">
        <f t="shared" ref="AR31" si="52">AR32</f>
        <v>154009.06999999998</v>
      </c>
    </row>
    <row r="32" spans="1:44" s="5" customFormat="1" ht="45.75" customHeight="1" x14ac:dyDescent="0.3">
      <c r="A32" s="4"/>
      <c r="B32" s="46"/>
      <c r="C32" s="46"/>
      <c r="D32" s="46"/>
      <c r="E32" s="46"/>
      <c r="F32" s="46"/>
      <c r="G32" s="6"/>
      <c r="H32" s="6"/>
      <c r="I32" s="14" t="s">
        <v>45</v>
      </c>
      <c r="J32" s="13">
        <v>59624.2</v>
      </c>
      <c r="K32" s="13">
        <f>J32</f>
        <v>59624.2</v>
      </c>
      <c r="L32" s="13">
        <v>23095.54</v>
      </c>
      <c r="M32" s="13">
        <f>L32</f>
        <v>23095.54</v>
      </c>
      <c r="N32" s="13">
        <v>33317.79</v>
      </c>
      <c r="O32" s="13">
        <v>67233.87</v>
      </c>
      <c r="P32" s="13">
        <f>O32</f>
        <v>67233.87</v>
      </c>
      <c r="Q32" s="13">
        <v>67233.87</v>
      </c>
      <c r="R32" s="13">
        <f>Q32</f>
        <v>67233.87</v>
      </c>
      <c r="S32" s="13">
        <v>924390.34</v>
      </c>
      <c r="T32" s="13">
        <v>985368.67</v>
      </c>
      <c r="U32" s="13">
        <f>T32</f>
        <v>985368.67</v>
      </c>
      <c r="V32" s="13">
        <v>6286.52</v>
      </c>
      <c r="W32" s="13">
        <f>V32</f>
        <v>6286.52</v>
      </c>
      <c r="X32" s="13">
        <v>48000</v>
      </c>
      <c r="Y32" s="13">
        <v>48000</v>
      </c>
      <c r="Z32" s="13">
        <v>0</v>
      </c>
      <c r="AA32" s="13">
        <v>500</v>
      </c>
      <c r="AB32" s="13">
        <v>7383.08</v>
      </c>
      <c r="AC32" s="13">
        <v>146625.99</v>
      </c>
      <c r="AD32" s="13">
        <f t="shared" si="8"/>
        <v>154009.06999999998</v>
      </c>
      <c r="AE32" s="13">
        <f t="shared" si="9"/>
        <v>6883.08</v>
      </c>
      <c r="AF32" s="50">
        <f t="shared" si="3"/>
        <v>106009.06999999998</v>
      </c>
      <c r="AG32" s="50">
        <v>0</v>
      </c>
      <c r="AH32" s="12">
        <f t="shared" si="5"/>
        <v>106009.06999999998</v>
      </c>
      <c r="AI32" s="50">
        <f t="shared" si="15"/>
        <v>320.85222916666663</v>
      </c>
      <c r="AJ32" s="13" t="e">
        <f>AD32-#REF!</f>
        <v>#REF!</v>
      </c>
      <c r="AK32" s="12" t="e">
        <f>IF(#REF!=0,0,AD32/#REF!*100)</f>
        <v>#REF!</v>
      </c>
      <c r="AL32" s="50">
        <f t="shared" si="10"/>
        <v>154009.06999999998</v>
      </c>
      <c r="AM32" s="50">
        <v>0</v>
      </c>
      <c r="AN32" s="13">
        <f t="shared" si="12"/>
        <v>147722.54999999999</v>
      </c>
      <c r="AO32" s="50">
        <f t="shared" si="16"/>
        <v>2449.8302717560746</v>
      </c>
      <c r="AP32" s="12">
        <f t="shared" si="48"/>
        <v>130913.52999999997</v>
      </c>
      <c r="AQ32" s="12">
        <f t="shared" si="49"/>
        <v>666.83467890337261</v>
      </c>
      <c r="AR32" s="36">
        <f>AD32</f>
        <v>154009.06999999998</v>
      </c>
    </row>
    <row r="33" spans="1:46" s="10" customFormat="1" ht="40.5" customHeight="1" x14ac:dyDescent="0.3">
      <c r="A33" s="9"/>
      <c r="B33" s="93" t="s">
        <v>14</v>
      </c>
      <c r="C33" s="93"/>
      <c r="D33" s="93"/>
      <c r="E33" s="93"/>
      <c r="F33" s="93"/>
      <c r="G33" s="93"/>
      <c r="H33" s="93"/>
      <c r="I33" s="93"/>
      <c r="J33" s="12">
        <v>94365.83</v>
      </c>
      <c r="K33" s="12">
        <f>J33</f>
        <v>94365.83</v>
      </c>
      <c r="L33" s="12">
        <v>-57774.36</v>
      </c>
      <c r="M33" s="12">
        <f>L33</f>
        <v>-57774.36</v>
      </c>
      <c r="N33" s="12">
        <v>700000</v>
      </c>
      <c r="O33" s="12">
        <v>700639.49</v>
      </c>
      <c r="P33" s="12">
        <f>O33</f>
        <v>700639.49</v>
      </c>
      <c r="Q33" s="12">
        <v>700639.49</v>
      </c>
      <c r="R33" s="12">
        <f>Q33</f>
        <v>700639.49</v>
      </c>
      <c r="S33" s="12">
        <v>267810</v>
      </c>
      <c r="T33" s="12">
        <v>267975.98</v>
      </c>
      <c r="U33" s="12">
        <f>T33</f>
        <v>267975.98</v>
      </c>
      <c r="V33" s="12">
        <v>98697.96</v>
      </c>
      <c r="W33" s="12">
        <f>V33</f>
        <v>98697.96</v>
      </c>
      <c r="X33" s="12">
        <v>763440</v>
      </c>
      <c r="Y33" s="12">
        <v>763440</v>
      </c>
      <c r="Z33" s="12">
        <v>383374</v>
      </c>
      <c r="AA33" s="12">
        <v>156047.76999999999</v>
      </c>
      <c r="AB33" s="12">
        <v>109125.17</v>
      </c>
      <c r="AC33" s="12">
        <v>164133</v>
      </c>
      <c r="AD33" s="12">
        <f t="shared" si="8"/>
        <v>273258.17</v>
      </c>
      <c r="AE33" s="12">
        <f t="shared" si="9"/>
        <v>-46922.599999999991</v>
      </c>
      <c r="AF33" s="50">
        <f t="shared" si="3"/>
        <v>-490181.83</v>
      </c>
      <c r="AG33" s="50">
        <v>0</v>
      </c>
      <c r="AH33" s="12">
        <f t="shared" si="5"/>
        <v>-490181.83</v>
      </c>
      <c r="AI33" s="50">
        <f t="shared" si="15"/>
        <v>35.793011893534526</v>
      </c>
      <c r="AJ33" s="12" t="e">
        <f>AD33-#REF!</f>
        <v>#REF!</v>
      </c>
      <c r="AK33" s="12" t="e">
        <f>IF(#REF!=0,0,AD33/#REF!*100)</f>
        <v>#REF!</v>
      </c>
      <c r="AL33" s="50">
        <f t="shared" si="10"/>
        <v>-110115.83000000002</v>
      </c>
      <c r="AM33" s="50">
        <f t="shared" si="11"/>
        <v>71.277178421071852</v>
      </c>
      <c r="AN33" s="12">
        <f t="shared" si="12"/>
        <v>174560.20999999996</v>
      </c>
      <c r="AO33" s="50">
        <f t="shared" si="16"/>
        <v>276.86303749337873</v>
      </c>
      <c r="AP33" s="12">
        <f t="shared" si="48"/>
        <v>331032.52999999997</v>
      </c>
      <c r="AQ33" s="12">
        <f t="shared" si="49"/>
        <v>-472.97481097151052</v>
      </c>
      <c r="AR33" s="39">
        <v>745000</v>
      </c>
    </row>
    <row r="34" spans="1:46" s="10" customFormat="1" ht="57.75" customHeight="1" x14ac:dyDescent="0.3">
      <c r="A34" s="9"/>
      <c r="B34" s="93" t="s">
        <v>13</v>
      </c>
      <c r="C34" s="93"/>
      <c r="D34" s="93"/>
      <c r="E34" s="93"/>
      <c r="F34" s="93"/>
      <c r="G34" s="93"/>
      <c r="H34" s="93"/>
      <c r="I34" s="93"/>
      <c r="J34" s="12">
        <f t="shared" ref="J34:N34" si="53">J35+J41</f>
        <v>26875602.490000002</v>
      </c>
      <c r="K34" s="12">
        <f t="shared" si="53"/>
        <v>26875602.490000002</v>
      </c>
      <c r="L34" s="12">
        <f t="shared" si="53"/>
        <v>10496131.460000001</v>
      </c>
      <c r="M34" s="12">
        <f t="shared" si="53"/>
        <v>10496131.460000001</v>
      </c>
      <c r="N34" s="12">
        <f t="shared" si="53"/>
        <v>29133952.98</v>
      </c>
      <c r="O34" s="12">
        <f>O35+O41</f>
        <v>30359839.810000002</v>
      </c>
      <c r="P34" s="12">
        <f t="shared" ref="P34:AB34" si="54">P35+P41</f>
        <v>30359839.810000002</v>
      </c>
      <c r="Q34" s="12">
        <v>30359839.810000002</v>
      </c>
      <c r="R34" s="12">
        <f>R35+R41</f>
        <v>30359839.810000002</v>
      </c>
      <c r="S34" s="12">
        <f t="shared" ref="S34" si="55">S35+S41</f>
        <v>27175643.960000001</v>
      </c>
      <c r="T34" s="12">
        <f>T35+T41</f>
        <v>28830788.940000001</v>
      </c>
      <c r="U34" s="12">
        <f t="shared" ref="U34:V34" si="56">U35+U41</f>
        <v>28830788.940000001</v>
      </c>
      <c r="V34" s="12">
        <f t="shared" si="56"/>
        <v>3891922.85</v>
      </c>
      <c r="W34" s="12">
        <f t="shared" ref="W34" si="57">W35+W41</f>
        <v>3891922.85</v>
      </c>
      <c r="X34" s="12">
        <f>X35+X41</f>
        <v>25090600</v>
      </c>
      <c r="Y34" s="12">
        <f>Y35+Y41</f>
        <v>25090600</v>
      </c>
      <c r="Z34" s="12">
        <f>Z35+Z41</f>
        <v>5565396.8200000003</v>
      </c>
      <c r="AA34" s="12">
        <v>389755.42</v>
      </c>
      <c r="AB34" s="12">
        <f t="shared" si="54"/>
        <v>562938.02</v>
      </c>
      <c r="AC34" s="12">
        <v>5111197.09</v>
      </c>
      <c r="AD34" s="12">
        <f t="shared" si="8"/>
        <v>5674135.1099999994</v>
      </c>
      <c r="AE34" s="12">
        <f t="shared" si="9"/>
        <v>173182.60000000003</v>
      </c>
      <c r="AF34" s="50">
        <f t="shared" si="3"/>
        <v>-19416464.890000001</v>
      </c>
      <c r="AG34" s="50">
        <v>0</v>
      </c>
      <c r="AH34" s="12">
        <f t="shared" si="5"/>
        <v>-19416464.890000001</v>
      </c>
      <c r="AI34" s="50">
        <f t="shared" si="15"/>
        <v>22.614585183295734</v>
      </c>
      <c r="AJ34" s="12" t="e">
        <f>AD34-#REF!</f>
        <v>#REF!</v>
      </c>
      <c r="AK34" s="12" t="e">
        <f>IF(#REF!=0,0,AD34/#REF!*100)</f>
        <v>#REF!</v>
      </c>
      <c r="AL34" s="50">
        <f t="shared" si="10"/>
        <v>108738.28999999911</v>
      </c>
      <c r="AM34" s="50">
        <f t="shared" si="11"/>
        <v>101.95382815488077</v>
      </c>
      <c r="AN34" s="12">
        <f t="shared" si="12"/>
        <v>1782212.2599999993</v>
      </c>
      <c r="AO34" s="50">
        <f t="shared" si="16"/>
        <v>145.79258964498743</v>
      </c>
      <c r="AP34" s="12">
        <f t="shared" si="48"/>
        <v>-4821996.3500000015</v>
      </c>
      <c r="AQ34" s="12">
        <f t="shared" si="49"/>
        <v>54.0592991963155</v>
      </c>
      <c r="AR34" s="39">
        <f t="shared" ref="AR34" si="58">AR35+AR41</f>
        <v>5674135.1100000013</v>
      </c>
    </row>
    <row r="35" spans="1:46" s="5" customFormat="1" ht="39" customHeight="1" x14ac:dyDescent="0.3">
      <c r="A35" s="4"/>
      <c r="B35" s="95" t="s">
        <v>67</v>
      </c>
      <c r="C35" s="95"/>
      <c r="D35" s="95"/>
      <c r="E35" s="95"/>
      <c r="F35" s="95"/>
      <c r="G35" s="95"/>
      <c r="H35" s="95"/>
      <c r="I35" s="95"/>
      <c r="J35" s="13">
        <v>25635946.170000002</v>
      </c>
      <c r="K35" s="13">
        <f>J35</f>
        <v>25635946.170000002</v>
      </c>
      <c r="L35" s="13">
        <v>9871683.9800000004</v>
      </c>
      <c r="M35" s="13">
        <f>L35</f>
        <v>9871683.9800000004</v>
      </c>
      <c r="N35" s="13">
        <v>29103618.59</v>
      </c>
      <c r="O35" s="13">
        <v>29972428.030000001</v>
      </c>
      <c r="P35" s="13">
        <f>P36+P37+P40</f>
        <v>29972428.030000001</v>
      </c>
      <c r="Q35" s="13">
        <v>29972428.030000001</v>
      </c>
      <c r="R35" s="13">
        <f>R36+R37+R40</f>
        <v>29972428.030000001</v>
      </c>
      <c r="S35" s="13">
        <f t="shared" ref="S35:T35" si="59">S36+S37+S40</f>
        <v>27157421.199999999</v>
      </c>
      <c r="T35" s="13">
        <f t="shared" si="59"/>
        <v>28334417.470000003</v>
      </c>
      <c r="U35" s="13">
        <f>U36+U37+U40</f>
        <v>28334417.470000003</v>
      </c>
      <c r="V35" s="13">
        <f t="shared" ref="V35" si="60">V36+V37+V40</f>
        <v>3868692.71</v>
      </c>
      <c r="W35" s="13">
        <f>W36+W37+W40</f>
        <v>3868692.71</v>
      </c>
      <c r="X35" s="13">
        <f>X36+X37+X40+X38+X39</f>
        <v>25090600</v>
      </c>
      <c r="Y35" s="13">
        <f>Y36+Y37+Y40+Y38+Y39</f>
        <v>25090600</v>
      </c>
      <c r="Z35" s="13">
        <f>Z36+Z37+Z40+Z38+Z39</f>
        <v>5565396.8200000003</v>
      </c>
      <c r="AA35" s="13">
        <v>352665.04</v>
      </c>
      <c r="AB35" s="13">
        <f>AB36+AB37+AB40+AB38+AB39</f>
        <v>558189.78</v>
      </c>
      <c r="AC35" s="13">
        <v>5043917.1400000006</v>
      </c>
      <c r="AD35" s="13">
        <f t="shared" si="8"/>
        <v>5602106.9200000009</v>
      </c>
      <c r="AE35" s="13">
        <f t="shared" si="9"/>
        <v>205524.74000000005</v>
      </c>
      <c r="AF35" s="50">
        <f t="shared" si="3"/>
        <v>-19488493.079999998</v>
      </c>
      <c r="AG35" s="50">
        <v>0</v>
      </c>
      <c r="AH35" s="12">
        <f t="shared" si="5"/>
        <v>-19488493.079999998</v>
      </c>
      <c r="AI35" s="50">
        <f t="shared" si="15"/>
        <v>22.327512773708087</v>
      </c>
      <c r="AJ35" s="13" t="e">
        <f>AD35-#REF!</f>
        <v>#REF!</v>
      </c>
      <c r="AK35" s="12" t="e">
        <f>IF(#REF!=0,0,AD35/#REF!*100)</f>
        <v>#REF!</v>
      </c>
      <c r="AL35" s="50">
        <f t="shared" si="10"/>
        <v>36710.100000000559</v>
      </c>
      <c r="AM35" s="50">
        <f t="shared" si="11"/>
        <v>100.65961334271938</v>
      </c>
      <c r="AN35" s="13">
        <f t="shared" si="12"/>
        <v>1733414.2100000009</v>
      </c>
      <c r="AO35" s="50">
        <f t="shared" si="16"/>
        <v>144.80620043870067</v>
      </c>
      <c r="AP35" s="12">
        <f t="shared" si="48"/>
        <v>-4269577.0599999996</v>
      </c>
      <c r="AQ35" s="12">
        <f t="shared" si="49"/>
        <v>56.749253028661087</v>
      </c>
      <c r="AR35" s="36">
        <f>AD35</f>
        <v>5602106.9200000009</v>
      </c>
    </row>
    <row r="36" spans="1:46" s="5" customFormat="1" ht="39" customHeight="1" x14ac:dyDescent="0.3">
      <c r="A36" s="4"/>
      <c r="B36" s="46"/>
      <c r="C36" s="46"/>
      <c r="D36" s="46"/>
      <c r="E36" s="46"/>
      <c r="F36" s="46"/>
      <c r="G36" s="46"/>
      <c r="H36" s="46"/>
      <c r="I36" s="49" t="s">
        <v>64</v>
      </c>
      <c r="J36" s="36"/>
      <c r="K36" s="36"/>
      <c r="L36" s="36"/>
      <c r="M36" s="36"/>
      <c r="N36" s="36"/>
      <c r="O36" s="36">
        <v>523404.98</v>
      </c>
      <c r="P36" s="36">
        <f>O36</f>
        <v>523404.98</v>
      </c>
      <c r="Q36" s="36">
        <v>523404.98</v>
      </c>
      <c r="R36" s="36">
        <f>Q36</f>
        <v>523404.98</v>
      </c>
      <c r="S36" s="36">
        <v>350000</v>
      </c>
      <c r="T36" s="36">
        <v>604943.78</v>
      </c>
      <c r="U36" s="36">
        <f>T36</f>
        <v>604943.78</v>
      </c>
      <c r="V36" s="36">
        <v>67658.2</v>
      </c>
      <c r="W36" s="36">
        <f>V36</f>
        <v>67658.2</v>
      </c>
      <c r="X36" s="36">
        <v>360000</v>
      </c>
      <c r="Y36" s="36">
        <v>360000</v>
      </c>
      <c r="Z36" s="36">
        <v>90000</v>
      </c>
      <c r="AA36" s="36">
        <v>6059.79</v>
      </c>
      <c r="AB36" s="36">
        <v>15620.15</v>
      </c>
      <c r="AC36" s="36">
        <v>78350.98</v>
      </c>
      <c r="AD36" s="36">
        <f t="shared" si="8"/>
        <v>93971.12999999999</v>
      </c>
      <c r="AE36" s="36">
        <f t="shared" si="9"/>
        <v>9560.36</v>
      </c>
      <c r="AF36" s="51">
        <f t="shared" si="3"/>
        <v>-266028.87</v>
      </c>
      <c r="AG36" s="51">
        <f>AD36/X36*100</f>
        <v>26.103091666666661</v>
      </c>
      <c r="AH36" s="39">
        <f t="shared" si="5"/>
        <v>-266028.87</v>
      </c>
      <c r="AI36" s="51">
        <f t="shared" si="15"/>
        <v>26.103091666666664</v>
      </c>
      <c r="AJ36" s="36"/>
      <c r="AK36" s="39"/>
      <c r="AL36" s="51">
        <f t="shared" si="10"/>
        <v>3971.1299999999901</v>
      </c>
      <c r="AM36" s="51">
        <f t="shared" si="11"/>
        <v>104.41236666666664</v>
      </c>
      <c r="AN36" s="36">
        <f t="shared" si="12"/>
        <v>26312.929999999993</v>
      </c>
      <c r="AO36" s="51">
        <f t="shared" si="16"/>
        <v>138.89096960900525</v>
      </c>
      <c r="AP36" s="12"/>
      <c r="AQ36" s="12"/>
      <c r="AR36" s="36"/>
    </row>
    <row r="37" spans="1:46" s="5" customFormat="1" ht="39" customHeight="1" x14ac:dyDescent="0.3">
      <c r="A37" s="4"/>
      <c r="B37" s="46"/>
      <c r="C37" s="46"/>
      <c r="D37" s="46"/>
      <c r="E37" s="46"/>
      <c r="F37" s="46"/>
      <c r="G37" s="46"/>
      <c r="H37" s="46"/>
      <c r="I37" s="49" t="s">
        <v>65</v>
      </c>
      <c r="J37" s="36"/>
      <c r="K37" s="36"/>
      <c r="L37" s="36"/>
      <c r="M37" s="36"/>
      <c r="N37" s="36"/>
      <c r="O37" s="36">
        <v>29449023.050000001</v>
      </c>
      <c r="P37" s="36">
        <f t="shared" ref="P37:P40" si="61">O37</f>
        <v>29449023.050000001</v>
      </c>
      <c r="Q37" s="36">
        <v>29449023.050000001</v>
      </c>
      <c r="R37" s="36">
        <f>Q37</f>
        <v>29449023.050000001</v>
      </c>
      <c r="S37" s="36">
        <v>26807421.199999999</v>
      </c>
      <c r="T37" s="36">
        <v>27683990.93</v>
      </c>
      <c r="U37" s="36">
        <f t="shared" ref="U37:W40" si="62">T37</f>
        <v>27683990.93</v>
      </c>
      <c r="V37" s="36">
        <v>3801034.51</v>
      </c>
      <c r="W37" s="36">
        <f t="shared" si="62"/>
        <v>3801034.51</v>
      </c>
      <c r="X37" s="36">
        <v>22830600</v>
      </c>
      <c r="Y37" s="36">
        <v>22830600</v>
      </c>
      <c r="Z37" s="36">
        <v>5251038</v>
      </c>
      <c r="AA37" s="36">
        <v>322355.25</v>
      </c>
      <c r="AB37" s="36">
        <v>473846.63</v>
      </c>
      <c r="AC37" s="36">
        <v>4743466.16</v>
      </c>
      <c r="AD37" s="36">
        <f t="shared" si="8"/>
        <v>5217312.79</v>
      </c>
      <c r="AE37" s="36">
        <f t="shared" si="9"/>
        <v>151491.38</v>
      </c>
      <c r="AF37" s="51">
        <f t="shared" si="3"/>
        <v>-17613287.210000001</v>
      </c>
      <c r="AG37" s="51">
        <f>AD37/X37*100</f>
        <v>22.852280667174757</v>
      </c>
      <c r="AH37" s="39">
        <f t="shared" si="5"/>
        <v>-17613287.210000001</v>
      </c>
      <c r="AI37" s="51">
        <f t="shared" si="15"/>
        <v>22.852280667174757</v>
      </c>
      <c r="AJ37" s="36"/>
      <c r="AK37" s="39"/>
      <c r="AL37" s="51">
        <f t="shared" si="10"/>
        <v>-33725.209999999963</v>
      </c>
      <c r="AM37" s="51">
        <f t="shared" si="11"/>
        <v>99.35774203119459</v>
      </c>
      <c r="AN37" s="36">
        <f t="shared" si="12"/>
        <v>1416278.2800000003</v>
      </c>
      <c r="AO37" s="51">
        <f t="shared" si="16"/>
        <v>137.26033731801084</v>
      </c>
      <c r="AP37" s="12"/>
      <c r="AQ37" s="12"/>
      <c r="AR37" s="36"/>
    </row>
    <row r="38" spans="1:46" s="5" customFormat="1" ht="39" customHeight="1" x14ac:dyDescent="0.3">
      <c r="A38" s="4"/>
      <c r="B38" s="46"/>
      <c r="C38" s="46"/>
      <c r="D38" s="46"/>
      <c r="E38" s="46"/>
      <c r="F38" s="46"/>
      <c r="G38" s="46"/>
      <c r="H38" s="46"/>
      <c r="I38" s="49" t="s">
        <v>81</v>
      </c>
      <c r="J38" s="36"/>
      <c r="K38" s="36"/>
      <c r="L38" s="36"/>
      <c r="M38" s="36"/>
      <c r="N38" s="36"/>
      <c r="O38" s="36"/>
      <c r="P38" s="36"/>
      <c r="Q38" s="36"/>
      <c r="R38" s="36"/>
      <c r="S38" s="36">
        <v>0</v>
      </c>
      <c r="T38" s="36">
        <v>0</v>
      </c>
      <c r="U38" s="36">
        <v>0</v>
      </c>
      <c r="V38" s="36">
        <v>0</v>
      </c>
      <c r="W38" s="36">
        <v>0</v>
      </c>
      <c r="X38" s="36">
        <v>1400000</v>
      </c>
      <c r="Y38" s="36">
        <v>1400000</v>
      </c>
      <c r="Z38" s="36">
        <v>185318.82</v>
      </c>
      <c r="AA38" s="36">
        <v>24100</v>
      </c>
      <c r="AB38" s="36">
        <v>67973</v>
      </c>
      <c r="AC38" s="36">
        <v>0</v>
      </c>
      <c r="AD38" s="36">
        <v>0</v>
      </c>
      <c r="AE38" s="36">
        <f t="shared" si="9"/>
        <v>43873</v>
      </c>
      <c r="AF38" s="51">
        <f t="shared" si="3"/>
        <v>-1400000</v>
      </c>
      <c r="AG38" s="51">
        <f t="shared" ref="AG38:AG39" si="63">AD38/X38*100</f>
        <v>0</v>
      </c>
      <c r="AH38" s="39">
        <f t="shared" ref="AH38:AH39" si="64">AD38-Y38</f>
        <v>-1400000</v>
      </c>
      <c r="AI38" s="51">
        <f t="shared" si="15"/>
        <v>0</v>
      </c>
      <c r="AJ38" s="36"/>
      <c r="AK38" s="39"/>
      <c r="AL38" s="51">
        <f t="shared" si="10"/>
        <v>-185318.82</v>
      </c>
      <c r="AM38" s="51">
        <f t="shared" si="11"/>
        <v>0</v>
      </c>
      <c r="AN38" s="36">
        <f t="shared" ref="AN38:AN39" si="65">AD38-W38</f>
        <v>0</v>
      </c>
      <c r="AO38" s="51">
        <v>0</v>
      </c>
      <c r="AP38" s="12"/>
      <c r="AQ38" s="12"/>
      <c r="AR38" s="36"/>
    </row>
    <row r="39" spans="1:46" s="5" customFormat="1" ht="39" customHeight="1" x14ac:dyDescent="0.3">
      <c r="A39" s="4"/>
      <c r="B39" s="46"/>
      <c r="C39" s="46"/>
      <c r="D39" s="46"/>
      <c r="E39" s="46"/>
      <c r="F39" s="46"/>
      <c r="G39" s="46"/>
      <c r="H39" s="46"/>
      <c r="I39" s="49" t="s">
        <v>82</v>
      </c>
      <c r="J39" s="36"/>
      <c r="K39" s="36"/>
      <c r="L39" s="36"/>
      <c r="M39" s="36"/>
      <c r="N39" s="36"/>
      <c r="O39" s="36"/>
      <c r="P39" s="36"/>
      <c r="Q39" s="36"/>
      <c r="R39" s="36"/>
      <c r="S39" s="36">
        <v>0</v>
      </c>
      <c r="T39" s="36">
        <v>0</v>
      </c>
      <c r="U39" s="36">
        <v>0</v>
      </c>
      <c r="V39" s="36">
        <v>0</v>
      </c>
      <c r="W39" s="36">
        <v>0</v>
      </c>
      <c r="X39" s="36">
        <v>500000</v>
      </c>
      <c r="Y39" s="36">
        <v>500000</v>
      </c>
      <c r="Z39" s="36">
        <v>39040</v>
      </c>
      <c r="AA39" s="36">
        <v>0</v>
      </c>
      <c r="AB39" s="36">
        <v>0</v>
      </c>
      <c r="AC39" s="36">
        <v>0</v>
      </c>
      <c r="AD39" s="36">
        <v>0</v>
      </c>
      <c r="AE39" s="36">
        <f t="shared" si="9"/>
        <v>0</v>
      </c>
      <c r="AF39" s="51">
        <f t="shared" si="3"/>
        <v>-500000</v>
      </c>
      <c r="AG39" s="51">
        <f t="shared" si="63"/>
        <v>0</v>
      </c>
      <c r="AH39" s="39">
        <f t="shared" si="64"/>
        <v>-500000</v>
      </c>
      <c r="AI39" s="51">
        <f t="shared" si="15"/>
        <v>0</v>
      </c>
      <c r="AJ39" s="36"/>
      <c r="AK39" s="39"/>
      <c r="AL39" s="51">
        <f t="shared" si="10"/>
        <v>-39040</v>
      </c>
      <c r="AM39" s="51">
        <v>0</v>
      </c>
      <c r="AN39" s="36">
        <f t="shared" si="65"/>
        <v>0</v>
      </c>
      <c r="AO39" s="51">
        <v>0</v>
      </c>
      <c r="AP39" s="12"/>
      <c r="AQ39" s="12"/>
      <c r="AR39" s="36"/>
    </row>
    <row r="40" spans="1:46" s="5" customFormat="1" ht="39" customHeight="1" x14ac:dyDescent="0.3">
      <c r="A40" s="4"/>
      <c r="B40" s="46"/>
      <c r="C40" s="46"/>
      <c r="D40" s="46"/>
      <c r="E40" s="46"/>
      <c r="F40" s="46"/>
      <c r="G40" s="46"/>
      <c r="H40" s="46"/>
      <c r="I40" s="49" t="s">
        <v>66</v>
      </c>
      <c r="J40" s="36"/>
      <c r="K40" s="36"/>
      <c r="L40" s="36"/>
      <c r="M40" s="36"/>
      <c r="N40" s="36"/>
      <c r="O40" s="36">
        <v>0</v>
      </c>
      <c r="P40" s="36">
        <f t="shared" si="61"/>
        <v>0</v>
      </c>
      <c r="Q40" s="36">
        <v>0</v>
      </c>
      <c r="R40" s="36">
        <f>Q40</f>
        <v>0</v>
      </c>
      <c r="S40" s="36">
        <v>0</v>
      </c>
      <c r="T40" s="36">
        <v>45482.76</v>
      </c>
      <c r="U40" s="36">
        <f t="shared" si="62"/>
        <v>45482.76</v>
      </c>
      <c r="V40" s="36">
        <v>0</v>
      </c>
      <c r="W40" s="36">
        <f t="shared" si="62"/>
        <v>0</v>
      </c>
      <c r="X40" s="36">
        <v>0</v>
      </c>
      <c r="Y40" s="36">
        <v>0</v>
      </c>
      <c r="Z40" s="36">
        <v>0</v>
      </c>
      <c r="AA40" s="36">
        <v>150</v>
      </c>
      <c r="AB40" s="36">
        <v>750</v>
      </c>
      <c r="AC40" s="36">
        <v>3070</v>
      </c>
      <c r="AD40" s="36">
        <f t="shared" si="8"/>
        <v>3820</v>
      </c>
      <c r="AE40" s="36">
        <f t="shared" si="9"/>
        <v>600</v>
      </c>
      <c r="AF40" s="51">
        <f t="shared" ref="AF40:AF59" si="66">AD40-X40</f>
        <v>3820</v>
      </c>
      <c r="AG40" s="51">
        <v>0</v>
      </c>
      <c r="AH40" s="39">
        <f t="shared" ref="AH40:AH59" si="67">AD40-Y40</f>
        <v>3820</v>
      </c>
      <c r="AI40" s="51">
        <v>0</v>
      </c>
      <c r="AJ40" s="36"/>
      <c r="AK40" s="39"/>
      <c r="AL40" s="51">
        <f t="shared" si="10"/>
        <v>3820</v>
      </c>
      <c r="AM40" s="51">
        <v>0</v>
      </c>
      <c r="AN40" s="36">
        <f t="shared" si="12"/>
        <v>3820</v>
      </c>
      <c r="AO40" s="51">
        <v>0</v>
      </c>
      <c r="AP40" s="12"/>
      <c r="AQ40" s="12"/>
      <c r="AR40" s="36"/>
    </row>
    <row r="41" spans="1:46" s="5" customFormat="1" ht="28.5" customHeight="1" x14ac:dyDescent="0.3">
      <c r="A41" s="4"/>
      <c r="B41" s="95" t="s">
        <v>12</v>
      </c>
      <c r="C41" s="95"/>
      <c r="D41" s="95"/>
      <c r="E41" s="95"/>
      <c r="F41" s="95"/>
      <c r="G41" s="95"/>
      <c r="H41" s="95"/>
      <c r="I41" s="95"/>
      <c r="J41" s="13">
        <v>1239656.32</v>
      </c>
      <c r="K41" s="13">
        <f>J41</f>
        <v>1239656.32</v>
      </c>
      <c r="L41" s="13">
        <v>624447.48</v>
      </c>
      <c r="M41" s="13">
        <f>L41</f>
        <v>624447.48</v>
      </c>
      <c r="N41" s="13">
        <v>30334.39</v>
      </c>
      <c r="O41" s="13">
        <v>387411.78</v>
      </c>
      <c r="P41" s="13">
        <f>O41</f>
        <v>387411.78</v>
      </c>
      <c r="Q41" s="13">
        <v>387411.78</v>
      </c>
      <c r="R41" s="13">
        <f>Q41</f>
        <v>387411.78</v>
      </c>
      <c r="S41" s="13">
        <v>18222.759999999998</v>
      </c>
      <c r="T41" s="13">
        <v>496371.47</v>
      </c>
      <c r="U41" s="13">
        <f>T41</f>
        <v>496371.47</v>
      </c>
      <c r="V41" s="13">
        <v>23230.14</v>
      </c>
      <c r="W41" s="13">
        <f>V41</f>
        <v>23230.14</v>
      </c>
      <c r="X41" s="13"/>
      <c r="Y41" s="13">
        <v>0</v>
      </c>
      <c r="Z41" s="13">
        <v>0</v>
      </c>
      <c r="AA41" s="13">
        <v>37090.379999999997</v>
      </c>
      <c r="AB41" s="13">
        <v>4748.24</v>
      </c>
      <c r="AC41" s="13">
        <v>67279.95</v>
      </c>
      <c r="AD41" s="13">
        <f t="shared" si="8"/>
        <v>72028.19</v>
      </c>
      <c r="AE41" s="13">
        <f t="shared" si="9"/>
        <v>-32342.14</v>
      </c>
      <c r="AF41" s="50">
        <f t="shared" si="66"/>
        <v>72028.19</v>
      </c>
      <c r="AG41" s="50">
        <v>0</v>
      </c>
      <c r="AH41" s="12">
        <f t="shared" si="67"/>
        <v>72028.19</v>
      </c>
      <c r="AI41" s="50">
        <v>0</v>
      </c>
      <c r="AJ41" s="13" t="e">
        <f>AD41-#REF!</f>
        <v>#REF!</v>
      </c>
      <c r="AK41" s="12" t="e">
        <f>IF(#REF!=0,0,AD41/#REF!*100)</f>
        <v>#REF!</v>
      </c>
      <c r="AL41" s="50">
        <f t="shared" si="10"/>
        <v>72028.19</v>
      </c>
      <c r="AM41" s="50">
        <v>0</v>
      </c>
      <c r="AN41" s="13">
        <f t="shared" si="12"/>
        <v>48798.05</v>
      </c>
      <c r="AO41" s="50">
        <f t="shared" si="16"/>
        <v>310.06352092583171</v>
      </c>
      <c r="AP41" s="12">
        <f t="shared" ref="AP41:AP55" si="68">AD41-M41</f>
        <v>-552419.29</v>
      </c>
      <c r="AQ41" s="12">
        <f t="shared" ref="AQ41:AQ55" si="69">IF(M41=0,0,AD41/M41*100)</f>
        <v>11.534707450496878</v>
      </c>
      <c r="AR41" s="36">
        <f>AD41</f>
        <v>72028.19</v>
      </c>
    </row>
    <row r="42" spans="1:46" s="10" customFormat="1" ht="60" customHeight="1" x14ac:dyDescent="0.3">
      <c r="A42" s="9"/>
      <c r="B42" s="93" t="s">
        <v>11</v>
      </c>
      <c r="C42" s="93"/>
      <c r="D42" s="93"/>
      <c r="E42" s="93"/>
      <c r="F42" s="93"/>
      <c r="G42" s="93"/>
      <c r="H42" s="93"/>
      <c r="I42" s="93"/>
      <c r="J42" s="12">
        <f t="shared" ref="J42:AB42" si="70">J43+J44</f>
        <v>4290634.29</v>
      </c>
      <c r="K42" s="12">
        <f t="shared" si="70"/>
        <v>4290634.29</v>
      </c>
      <c r="L42" s="12">
        <f t="shared" si="70"/>
        <v>3198289.13</v>
      </c>
      <c r="M42" s="12">
        <f t="shared" si="70"/>
        <v>3198289.13</v>
      </c>
      <c r="N42" s="12">
        <f t="shared" si="70"/>
        <v>3516712.9</v>
      </c>
      <c r="O42" s="12">
        <f t="shared" si="70"/>
        <v>4112775.06</v>
      </c>
      <c r="P42" s="12">
        <f t="shared" si="70"/>
        <v>4112775.06</v>
      </c>
      <c r="Q42" s="12">
        <v>4112775.06</v>
      </c>
      <c r="R42" s="12">
        <f t="shared" si="70"/>
        <v>4112775.06</v>
      </c>
      <c r="S42" s="12">
        <f t="shared" ref="S42:U42" si="71">S43+S44</f>
        <v>5158755</v>
      </c>
      <c r="T42" s="12">
        <f t="shared" si="71"/>
        <v>5158759.0599999996</v>
      </c>
      <c r="U42" s="12">
        <f t="shared" si="71"/>
        <v>5158759.0599999996</v>
      </c>
      <c r="V42" s="12">
        <f t="shared" ref="V42:X42" si="72">V43+V44</f>
        <v>1154759.6499999999</v>
      </c>
      <c r="W42" s="12">
        <f t="shared" si="72"/>
        <v>1154759.6499999999</v>
      </c>
      <c r="X42" s="12">
        <f t="shared" si="72"/>
        <v>132000</v>
      </c>
      <c r="Y42" s="12">
        <f t="shared" si="70"/>
        <v>132000</v>
      </c>
      <c r="Z42" s="12">
        <f t="shared" si="70"/>
        <v>0</v>
      </c>
      <c r="AA42" s="12">
        <v>0</v>
      </c>
      <c r="AB42" s="12">
        <f t="shared" si="70"/>
        <v>110330</v>
      </c>
      <c r="AC42" s="12">
        <v>203137.44</v>
      </c>
      <c r="AD42" s="12">
        <f t="shared" si="8"/>
        <v>313467.44</v>
      </c>
      <c r="AE42" s="12">
        <f t="shared" si="9"/>
        <v>110330</v>
      </c>
      <c r="AF42" s="50">
        <f t="shared" si="66"/>
        <v>181467.44</v>
      </c>
      <c r="AG42" s="50">
        <f t="shared" ref="AG42:AG54" si="73">AD42/X42*100</f>
        <v>237.47533333333334</v>
      </c>
      <c r="AH42" s="12">
        <f t="shared" si="67"/>
        <v>181467.44</v>
      </c>
      <c r="AI42" s="50">
        <f t="shared" si="15"/>
        <v>237.47533333333334</v>
      </c>
      <c r="AJ42" s="12" t="e">
        <f>AD42-#REF!</f>
        <v>#REF!</v>
      </c>
      <c r="AK42" s="12" t="e">
        <f>IF(#REF!=0,0,AD42/#REF!*100)</f>
        <v>#REF!</v>
      </c>
      <c r="AL42" s="50">
        <f t="shared" si="10"/>
        <v>313467.44</v>
      </c>
      <c r="AM42" s="50">
        <v>0</v>
      </c>
      <c r="AN42" s="12">
        <f t="shared" si="12"/>
        <v>-841292.21</v>
      </c>
      <c r="AO42" s="50">
        <v>0</v>
      </c>
      <c r="AP42" s="12">
        <f t="shared" si="68"/>
        <v>-2884821.69</v>
      </c>
      <c r="AQ42" s="12">
        <f t="shared" si="69"/>
        <v>9.8010976262174268</v>
      </c>
      <c r="AR42" s="39">
        <f t="shared" ref="AR42" si="74">AR43+AR44</f>
        <v>313467.44</v>
      </c>
    </row>
    <row r="43" spans="1:46" s="5" customFormat="1" ht="63" customHeight="1" x14ac:dyDescent="0.3">
      <c r="A43" s="4"/>
      <c r="B43" s="95" t="s">
        <v>39</v>
      </c>
      <c r="C43" s="95"/>
      <c r="D43" s="95"/>
      <c r="E43" s="95"/>
      <c r="F43" s="95"/>
      <c r="G43" s="95"/>
      <c r="H43" s="95"/>
      <c r="I43" s="95"/>
      <c r="J43" s="13">
        <v>163530</v>
      </c>
      <c r="K43" s="13">
        <f t="shared" ref="K43:K46" si="75">J43</f>
        <v>163530</v>
      </c>
      <c r="L43" s="13">
        <v>0</v>
      </c>
      <c r="M43" s="13">
        <f t="shared" ref="M43:M46" si="76">L43</f>
        <v>0</v>
      </c>
      <c r="N43" s="13">
        <v>762433</v>
      </c>
      <c r="O43" s="13">
        <v>763713</v>
      </c>
      <c r="P43" s="13">
        <f t="shared" ref="P43:P46" si="77">O43</f>
        <v>763713</v>
      </c>
      <c r="Q43" s="13">
        <v>763713</v>
      </c>
      <c r="R43" s="13">
        <f t="shared" ref="R43:R45" si="78">Q43</f>
        <v>763713</v>
      </c>
      <c r="S43" s="13">
        <v>17475</v>
      </c>
      <c r="T43" s="13">
        <v>17475</v>
      </c>
      <c r="U43" s="13">
        <f t="shared" ref="U43:W46" si="79">T43</f>
        <v>17475</v>
      </c>
      <c r="V43" s="13">
        <v>0</v>
      </c>
      <c r="W43" s="13">
        <f t="shared" si="79"/>
        <v>0</v>
      </c>
      <c r="X43" s="13">
        <v>132000</v>
      </c>
      <c r="Y43" s="13">
        <v>132000</v>
      </c>
      <c r="Z43" s="13">
        <v>0</v>
      </c>
      <c r="AA43" s="13">
        <v>0</v>
      </c>
      <c r="AB43" s="13">
        <v>0</v>
      </c>
      <c r="AC43" s="13">
        <v>5228.8</v>
      </c>
      <c r="AD43" s="13">
        <f t="shared" si="8"/>
        <v>5228.8</v>
      </c>
      <c r="AE43" s="13">
        <f t="shared" si="9"/>
        <v>0</v>
      </c>
      <c r="AF43" s="50">
        <f t="shared" si="66"/>
        <v>-126771.2</v>
      </c>
      <c r="AG43" s="50">
        <f t="shared" si="73"/>
        <v>3.9612121212121219</v>
      </c>
      <c r="AH43" s="12">
        <f t="shared" si="67"/>
        <v>-126771.2</v>
      </c>
      <c r="AI43" s="50">
        <f t="shared" si="15"/>
        <v>3.9612121212121214</v>
      </c>
      <c r="AJ43" s="13" t="e">
        <f>AD43-#REF!</f>
        <v>#REF!</v>
      </c>
      <c r="AK43" s="12" t="e">
        <f>IF(#REF!=0,0,AD43/#REF!*100)</f>
        <v>#REF!</v>
      </c>
      <c r="AL43" s="50">
        <f t="shared" si="10"/>
        <v>5228.8</v>
      </c>
      <c r="AM43" s="50">
        <v>0</v>
      </c>
      <c r="AN43" s="13">
        <f t="shared" si="12"/>
        <v>5228.8</v>
      </c>
      <c r="AO43" s="50">
        <v>0</v>
      </c>
      <c r="AP43" s="12">
        <f t="shared" si="68"/>
        <v>5228.8</v>
      </c>
      <c r="AQ43" s="12">
        <f t="shared" si="69"/>
        <v>0</v>
      </c>
      <c r="AR43" s="36">
        <f>AD43</f>
        <v>5228.8</v>
      </c>
    </row>
    <row r="44" spans="1:46" s="5" customFormat="1" ht="65.25" customHeight="1" x14ac:dyDescent="0.3">
      <c r="A44" s="4"/>
      <c r="B44" s="95" t="s">
        <v>10</v>
      </c>
      <c r="C44" s="95"/>
      <c r="D44" s="95"/>
      <c r="E44" s="95"/>
      <c r="F44" s="95"/>
      <c r="G44" s="95"/>
      <c r="H44" s="95"/>
      <c r="I44" s="95"/>
      <c r="J44" s="13">
        <v>4127104.29</v>
      </c>
      <c r="K44" s="13">
        <f t="shared" si="75"/>
        <v>4127104.29</v>
      </c>
      <c r="L44" s="13">
        <v>3198289.13</v>
      </c>
      <c r="M44" s="13">
        <f t="shared" si="76"/>
        <v>3198289.13</v>
      </c>
      <c r="N44" s="13">
        <v>2754279.9</v>
      </c>
      <c r="O44" s="13">
        <v>3349062.06</v>
      </c>
      <c r="P44" s="13">
        <f t="shared" si="77"/>
        <v>3349062.06</v>
      </c>
      <c r="Q44" s="13">
        <v>3349062.06</v>
      </c>
      <c r="R44" s="13">
        <f t="shared" si="78"/>
        <v>3349062.06</v>
      </c>
      <c r="S44" s="13">
        <v>5141280</v>
      </c>
      <c r="T44" s="13">
        <v>5141284.0599999996</v>
      </c>
      <c r="U44" s="13">
        <f t="shared" si="79"/>
        <v>5141284.0599999996</v>
      </c>
      <c r="V44" s="13">
        <v>1154759.6499999999</v>
      </c>
      <c r="W44" s="13">
        <f t="shared" si="79"/>
        <v>1154759.6499999999</v>
      </c>
      <c r="X44" s="13">
        <v>0</v>
      </c>
      <c r="Y44" s="13">
        <v>0</v>
      </c>
      <c r="Z44" s="13">
        <v>0</v>
      </c>
      <c r="AA44" s="13">
        <v>0</v>
      </c>
      <c r="AB44" s="13">
        <v>110330</v>
      </c>
      <c r="AC44" s="13">
        <v>197908.64</v>
      </c>
      <c r="AD44" s="13">
        <f t="shared" si="8"/>
        <v>308238.64</v>
      </c>
      <c r="AE44" s="13">
        <f t="shared" si="9"/>
        <v>110330</v>
      </c>
      <c r="AF44" s="50">
        <f t="shared" si="66"/>
        <v>308238.64</v>
      </c>
      <c r="AG44" s="50">
        <v>0</v>
      </c>
      <c r="AH44" s="12">
        <f t="shared" si="67"/>
        <v>308238.64</v>
      </c>
      <c r="AI44" s="50">
        <v>0</v>
      </c>
      <c r="AJ44" s="13" t="e">
        <f>AD44-#REF!</f>
        <v>#REF!</v>
      </c>
      <c r="AK44" s="12" t="e">
        <f>IF(#REF!=0,0,AD44/#REF!*100)</f>
        <v>#REF!</v>
      </c>
      <c r="AL44" s="50">
        <f t="shared" si="10"/>
        <v>308238.64</v>
      </c>
      <c r="AM44" s="50">
        <v>0</v>
      </c>
      <c r="AN44" s="13">
        <f t="shared" si="12"/>
        <v>-846521.00999999989</v>
      </c>
      <c r="AO44" s="50">
        <v>0</v>
      </c>
      <c r="AP44" s="12">
        <f t="shared" si="68"/>
        <v>-2890050.4899999998</v>
      </c>
      <c r="AQ44" s="12">
        <f t="shared" si="69"/>
        <v>9.6376102181856211</v>
      </c>
      <c r="AR44" s="36">
        <f>AD44</f>
        <v>308238.64</v>
      </c>
    </row>
    <row r="45" spans="1:46" s="10" customFormat="1" ht="39.75" customHeight="1" x14ac:dyDescent="0.3">
      <c r="A45" s="9"/>
      <c r="B45" s="93" t="s">
        <v>9</v>
      </c>
      <c r="C45" s="93"/>
      <c r="D45" s="93"/>
      <c r="E45" s="93"/>
      <c r="F45" s="93"/>
      <c r="G45" s="93"/>
      <c r="H45" s="93"/>
      <c r="I45" s="93"/>
      <c r="J45" s="12">
        <v>2338187.02</v>
      </c>
      <c r="K45" s="12">
        <f t="shared" si="75"/>
        <v>2338187.02</v>
      </c>
      <c r="L45" s="12">
        <v>974257.27</v>
      </c>
      <c r="M45" s="12">
        <f t="shared" si="76"/>
        <v>974257.27</v>
      </c>
      <c r="N45" s="12">
        <v>2799320.03</v>
      </c>
      <c r="O45" s="12">
        <v>3055345.14</v>
      </c>
      <c r="P45" s="12">
        <f t="shared" si="77"/>
        <v>3055345.14</v>
      </c>
      <c r="Q45" s="12">
        <v>3055345.14</v>
      </c>
      <c r="R45" s="12">
        <f t="shared" si="78"/>
        <v>3055345.14</v>
      </c>
      <c r="S45" s="12">
        <v>3596607.46</v>
      </c>
      <c r="T45" s="12">
        <v>3652993.79</v>
      </c>
      <c r="U45" s="12">
        <f t="shared" si="79"/>
        <v>3652993.79</v>
      </c>
      <c r="V45" s="12">
        <v>176925.24</v>
      </c>
      <c r="W45" s="12">
        <f t="shared" si="79"/>
        <v>176925.24</v>
      </c>
      <c r="X45" s="12">
        <v>1249470</v>
      </c>
      <c r="Y45" s="12">
        <v>1249470</v>
      </c>
      <c r="Z45" s="12">
        <v>143027</v>
      </c>
      <c r="AA45" s="12">
        <v>9785.7000000000007</v>
      </c>
      <c r="AB45" s="12">
        <v>51510.21</v>
      </c>
      <c r="AC45" s="12">
        <v>98258.599999999991</v>
      </c>
      <c r="AD45" s="12">
        <f t="shared" si="8"/>
        <v>149768.81</v>
      </c>
      <c r="AE45" s="12">
        <f t="shared" si="9"/>
        <v>41724.509999999995</v>
      </c>
      <c r="AF45" s="50">
        <f t="shared" si="66"/>
        <v>-1099701.19</v>
      </c>
      <c r="AG45" s="50">
        <f t="shared" si="73"/>
        <v>11.986587112935885</v>
      </c>
      <c r="AH45" s="12">
        <f t="shared" si="67"/>
        <v>-1099701.19</v>
      </c>
      <c r="AI45" s="50">
        <f t="shared" si="15"/>
        <v>11.986587112935885</v>
      </c>
      <c r="AJ45" s="12" t="e">
        <f>AD45-#REF!</f>
        <v>#REF!</v>
      </c>
      <c r="AK45" s="12" t="e">
        <f>IF(#REF!=0,0,AD45/#REF!*100)</f>
        <v>#REF!</v>
      </c>
      <c r="AL45" s="50">
        <f t="shared" si="10"/>
        <v>6741.8099999999977</v>
      </c>
      <c r="AM45" s="50">
        <f t="shared" si="11"/>
        <v>104.7136624553406</v>
      </c>
      <c r="AN45" s="12">
        <f t="shared" si="12"/>
        <v>-27156.429999999993</v>
      </c>
      <c r="AO45" s="50">
        <f t="shared" si="16"/>
        <v>84.650901137678275</v>
      </c>
      <c r="AP45" s="12">
        <f t="shared" si="68"/>
        <v>-824488.46</v>
      </c>
      <c r="AQ45" s="12">
        <f t="shared" si="69"/>
        <v>15.372614052959543</v>
      </c>
      <c r="AR45" s="39">
        <f>AD45</f>
        <v>149768.81</v>
      </c>
    </row>
    <row r="46" spans="1:46" s="23" customFormat="1" ht="30" customHeight="1" x14ac:dyDescent="0.3">
      <c r="A46" s="20"/>
      <c r="B46" s="21"/>
      <c r="C46" s="21"/>
      <c r="D46" s="21"/>
      <c r="E46" s="21"/>
      <c r="F46" s="21"/>
      <c r="G46" s="21"/>
      <c r="H46" s="21"/>
      <c r="I46" s="22" t="s">
        <v>48</v>
      </c>
      <c r="J46" s="17">
        <v>256536.06</v>
      </c>
      <c r="K46" s="17">
        <f t="shared" si="75"/>
        <v>256536.06</v>
      </c>
      <c r="L46" s="17">
        <v>109317.03</v>
      </c>
      <c r="M46" s="17">
        <f t="shared" si="76"/>
        <v>109317.03</v>
      </c>
      <c r="N46" s="17">
        <v>210726.7</v>
      </c>
      <c r="O46" s="27">
        <f>221100.64+0.02+606.42</f>
        <v>221707.08000000002</v>
      </c>
      <c r="P46" s="17">
        <f t="shared" si="77"/>
        <v>221707.08000000002</v>
      </c>
      <c r="Q46" s="17">
        <v>221707.08000000002</v>
      </c>
      <c r="R46" s="17">
        <f>Q46</f>
        <v>221707.08000000002</v>
      </c>
      <c r="S46" s="27">
        <v>295493.67</v>
      </c>
      <c r="T46" s="27">
        <v>303043.07</v>
      </c>
      <c r="U46" s="17">
        <f t="shared" si="79"/>
        <v>303043.07</v>
      </c>
      <c r="V46" s="27">
        <v>44541.85</v>
      </c>
      <c r="W46" s="17">
        <f t="shared" si="79"/>
        <v>44541.85</v>
      </c>
      <c r="X46" s="27">
        <v>336190</v>
      </c>
      <c r="Y46" s="27">
        <v>336190</v>
      </c>
      <c r="Z46" s="27">
        <v>57000</v>
      </c>
      <c r="AA46" s="27">
        <v>200</v>
      </c>
      <c r="AB46" s="27">
        <v>7700.33</v>
      </c>
      <c r="AC46" s="27">
        <v>33516.6</v>
      </c>
      <c r="AD46" s="27">
        <f t="shared" si="8"/>
        <v>41216.93</v>
      </c>
      <c r="AE46" s="17">
        <f t="shared" si="9"/>
        <v>7500.33</v>
      </c>
      <c r="AF46" s="50">
        <f t="shared" si="66"/>
        <v>-294973.07</v>
      </c>
      <c r="AG46" s="50">
        <f t="shared" si="73"/>
        <v>12.260010708230466</v>
      </c>
      <c r="AH46" s="12">
        <f t="shared" si="67"/>
        <v>-294973.07</v>
      </c>
      <c r="AI46" s="50">
        <f t="shared" si="15"/>
        <v>12.260010708230464</v>
      </c>
      <c r="AJ46" s="13" t="e">
        <f>AD46-#REF!</f>
        <v>#REF!</v>
      </c>
      <c r="AK46" s="12" t="e">
        <f>IF(#REF!=0,0,AD46/#REF!*100)</f>
        <v>#REF!</v>
      </c>
      <c r="AL46" s="50">
        <f t="shared" si="10"/>
        <v>-15783.07</v>
      </c>
      <c r="AM46" s="50">
        <f t="shared" si="11"/>
        <v>72.310403508771927</v>
      </c>
      <c r="AN46" s="13">
        <f t="shared" si="12"/>
        <v>-3324.9199999999983</v>
      </c>
      <c r="AO46" s="50">
        <f t="shared" si="16"/>
        <v>92.535289845392597</v>
      </c>
      <c r="AP46" s="12">
        <f t="shared" si="68"/>
        <v>-68100.100000000006</v>
      </c>
      <c r="AQ46" s="12">
        <f t="shared" si="69"/>
        <v>37.70403385456045</v>
      </c>
      <c r="AR46" s="36">
        <f>AD46</f>
        <v>41216.93</v>
      </c>
      <c r="AT46" s="27"/>
    </row>
    <row r="47" spans="1:46" s="10" customFormat="1" ht="36.75" customHeight="1" x14ac:dyDescent="0.3">
      <c r="A47" s="9"/>
      <c r="B47" s="93" t="s">
        <v>7</v>
      </c>
      <c r="C47" s="93"/>
      <c r="D47" s="93"/>
      <c r="E47" s="93"/>
      <c r="F47" s="93"/>
      <c r="G47" s="93"/>
      <c r="H47" s="93"/>
      <c r="I47" s="93"/>
      <c r="J47" s="12">
        <f t="shared" ref="J47:AB47" si="80">J48+J49</f>
        <v>1294662.3799999999</v>
      </c>
      <c r="K47" s="12">
        <f t="shared" si="80"/>
        <v>5832860.8300000001</v>
      </c>
      <c r="L47" s="12">
        <f t="shared" si="80"/>
        <v>389278.05</v>
      </c>
      <c r="M47" s="12">
        <f t="shared" si="80"/>
        <v>2578944.6999999997</v>
      </c>
      <c r="N47" s="12">
        <f t="shared" si="80"/>
        <v>2895802</v>
      </c>
      <c r="O47" s="12">
        <f t="shared" si="80"/>
        <v>4075696.4</v>
      </c>
      <c r="P47" s="12">
        <f t="shared" si="80"/>
        <v>4075696.4</v>
      </c>
      <c r="Q47" s="12">
        <v>4075696.4</v>
      </c>
      <c r="R47" s="12">
        <f t="shared" ref="R47:Z47" si="81">R48+R49</f>
        <v>4075696.4</v>
      </c>
      <c r="S47" s="12">
        <f t="shared" ref="S47" si="82">S48+S49</f>
        <v>2424483.5099999998</v>
      </c>
      <c r="T47" s="12">
        <f>T48+T49</f>
        <v>2445600.71</v>
      </c>
      <c r="U47" s="12">
        <f t="shared" ref="U47:V47" si="83">U48+U49</f>
        <v>2445600.71</v>
      </c>
      <c r="V47" s="12">
        <f t="shared" si="83"/>
        <v>1196301.1200000001</v>
      </c>
      <c r="W47" s="12">
        <f t="shared" ref="W47:X47" si="84">W48+W49</f>
        <v>1196301.1200000001</v>
      </c>
      <c r="X47" s="12">
        <f t="shared" si="84"/>
        <v>2715689.65</v>
      </c>
      <c r="Y47" s="12">
        <f t="shared" si="81"/>
        <v>4538198.45</v>
      </c>
      <c r="Z47" s="12">
        <f t="shared" si="81"/>
        <v>2333908.7999999998</v>
      </c>
      <c r="AA47" s="12">
        <v>132563.58000000002</v>
      </c>
      <c r="AB47" s="12">
        <f t="shared" si="80"/>
        <v>251140.44</v>
      </c>
      <c r="AC47" s="12">
        <v>1970104.84</v>
      </c>
      <c r="AD47" s="12">
        <f t="shared" si="8"/>
        <v>2221245.2800000003</v>
      </c>
      <c r="AE47" s="12">
        <f t="shared" si="9"/>
        <v>118576.85999999999</v>
      </c>
      <c r="AF47" s="50">
        <f t="shared" si="66"/>
        <v>-494444.36999999965</v>
      </c>
      <c r="AG47" s="50">
        <f t="shared" si="73"/>
        <v>81.793045829076988</v>
      </c>
      <c r="AH47" s="12">
        <f t="shared" si="67"/>
        <v>-2316953.17</v>
      </c>
      <c r="AI47" s="50">
        <f t="shared" si="15"/>
        <v>48.945529916171921</v>
      </c>
      <c r="AJ47" s="12" t="e">
        <f>AD47-#REF!</f>
        <v>#REF!</v>
      </c>
      <c r="AK47" s="12" t="e">
        <f>IF(#REF!=0,0,AD47/#REF!*100)</f>
        <v>#REF!</v>
      </c>
      <c r="AL47" s="50">
        <f t="shared" si="10"/>
        <v>-112663.51999999955</v>
      </c>
      <c r="AM47" s="50">
        <v>0</v>
      </c>
      <c r="AN47" s="12">
        <f t="shared" si="12"/>
        <v>1024944.1600000001</v>
      </c>
      <c r="AO47" s="50">
        <f t="shared" si="16"/>
        <v>185.67610134812881</v>
      </c>
      <c r="AP47" s="12">
        <f t="shared" si="68"/>
        <v>-357699.41999999946</v>
      </c>
      <c r="AQ47" s="12">
        <f t="shared" si="69"/>
        <v>86.130008138600274</v>
      </c>
      <c r="AR47" s="39">
        <f t="shared" ref="AR47" si="85">AR48+AR49</f>
        <v>4387130.63</v>
      </c>
    </row>
    <row r="48" spans="1:46" s="5" customFormat="1" ht="23.25" customHeight="1" x14ac:dyDescent="0.3">
      <c r="A48" s="4"/>
      <c r="B48" s="46"/>
      <c r="C48" s="46"/>
      <c r="D48" s="46"/>
      <c r="E48" s="46"/>
      <c r="F48" s="46"/>
      <c r="G48" s="46"/>
      <c r="H48" s="46"/>
      <c r="I48" s="46" t="s">
        <v>52</v>
      </c>
      <c r="J48" s="13">
        <v>1294662.3799999999</v>
      </c>
      <c r="K48" s="13">
        <f>J48</f>
        <v>1294662.3799999999</v>
      </c>
      <c r="L48" s="13">
        <v>389278.05</v>
      </c>
      <c r="M48" s="13">
        <f>L48</f>
        <v>389278.05</v>
      </c>
      <c r="N48" s="13">
        <v>0</v>
      </c>
      <c r="O48" s="13">
        <v>1151029.3999999999</v>
      </c>
      <c r="P48" s="13">
        <f>O48</f>
        <v>1151029.3999999999</v>
      </c>
      <c r="Q48" s="13">
        <v>1151029.3999999999</v>
      </c>
      <c r="R48" s="13">
        <f>Q48</f>
        <v>1151029.3999999999</v>
      </c>
      <c r="S48" s="13">
        <v>144600</v>
      </c>
      <c r="T48" s="13">
        <v>165717.20000000001</v>
      </c>
      <c r="U48" s="13">
        <f>T48</f>
        <v>165717.20000000001</v>
      </c>
      <c r="V48" s="13">
        <f>172101.72+59530.9</f>
        <v>231632.62</v>
      </c>
      <c r="W48" s="13">
        <f>V48</f>
        <v>231632.62</v>
      </c>
      <c r="X48" s="13">
        <v>0</v>
      </c>
      <c r="Y48" s="13">
        <v>0</v>
      </c>
      <c r="Z48" s="13">
        <v>0</v>
      </c>
      <c r="AA48" s="13">
        <v>20297.580000000002</v>
      </c>
      <c r="AB48" s="13">
        <f>-38945.76+11667</f>
        <v>-27278.760000000002</v>
      </c>
      <c r="AC48" s="13">
        <v>58857.39</v>
      </c>
      <c r="AD48" s="13">
        <f t="shared" si="8"/>
        <v>31578.629999999997</v>
      </c>
      <c r="AE48" s="17">
        <f t="shared" si="9"/>
        <v>-47576.340000000004</v>
      </c>
      <c r="AF48" s="50">
        <f t="shared" si="66"/>
        <v>31578.629999999997</v>
      </c>
      <c r="AG48" s="50">
        <v>0</v>
      </c>
      <c r="AH48" s="12">
        <f t="shared" si="67"/>
        <v>31578.629999999997</v>
      </c>
      <c r="AI48" s="50">
        <v>0</v>
      </c>
      <c r="AJ48" s="13" t="e">
        <f>AD48-#REF!</f>
        <v>#REF!</v>
      </c>
      <c r="AK48" s="12" t="e">
        <f>IF(#REF!=0,0,AD48/#REF!*100)</f>
        <v>#REF!</v>
      </c>
      <c r="AL48" s="50">
        <f t="shared" si="10"/>
        <v>31578.629999999997</v>
      </c>
      <c r="AM48" s="50">
        <v>0</v>
      </c>
      <c r="AN48" s="13">
        <f t="shared" si="12"/>
        <v>-200053.99</v>
      </c>
      <c r="AO48" s="50">
        <f t="shared" si="16"/>
        <v>13.633066879785757</v>
      </c>
      <c r="AP48" s="12">
        <f t="shared" si="68"/>
        <v>-357699.42</v>
      </c>
      <c r="AQ48" s="12">
        <f t="shared" si="69"/>
        <v>8.1121013630231644</v>
      </c>
      <c r="AR48" s="36">
        <f>AD48</f>
        <v>31578.629999999997</v>
      </c>
    </row>
    <row r="49" spans="1:44" s="5" customFormat="1" ht="28.5" customHeight="1" x14ac:dyDescent="0.3">
      <c r="A49" s="4"/>
      <c r="B49" s="46"/>
      <c r="C49" s="46"/>
      <c r="D49" s="46"/>
      <c r="E49" s="46"/>
      <c r="F49" s="46"/>
      <c r="G49" s="46"/>
      <c r="H49" s="46"/>
      <c r="I49" s="46" t="s">
        <v>51</v>
      </c>
      <c r="J49" s="13">
        <v>0</v>
      </c>
      <c r="K49" s="26">
        <f>Y49</f>
        <v>4538198.45</v>
      </c>
      <c r="L49" s="13">
        <v>0</v>
      </c>
      <c r="M49" s="43">
        <f>AD49</f>
        <v>2189666.65</v>
      </c>
      <c r="N49" s="13">
        <v>2895802</v>
      </c>
      <c r="O49" s="13">
        <v>2924667</v>
      </c>
      <c r="P49" s="13">
        <f>O49</f>
        <v>2924667</v>
      </c>
      <c r="Q49" s="13">
        <v>2924667</v>
      </c>
      <c r="R49" s="13">
        <f>Q49</f>
        <v>2924667</v>
      </c>
      <c r="S49" s="13">
        <v>2279883.5099999998</v>
      </c>
      <c r="T49" s="13">
        <v>2279883.5099999998</v>
      </c>
      <c r="U49" s="13">
        <f>T49</f>
        <v>2279883.5099999998</v>
      </c>
      <c r="V49" s="13">
        <v>964668.5</v>
      </c>
      <c r="W49" s="13">
        <f>V49</f>
        <v>964668.5</v>
      </c>
      <c r="X49" s="13">
        <v>2715689.65</v>
      </c>
      <c r="Y49" s="13">
        <v>4538198.45</v>
      </c>
      <c r="Z49" s="13">
        <v>2333908.7999999998</v>
      </c>
      <c r="AA49" s="13">
        <v>112266</v>
      </c>
      <c r="AB49" s="13">
        <v>278419.20000000001</v>
      </c>
      <c r="AC49" s="13">
        <v>1911247.45</v>
      </c>
      <c r="AD49" s="13">
        <f t="shared" si="8"/>
        <v>2189666.65</v>
      </c>
      <c r="AE49" s="17">
        <f t="shared" si="9"/>
        <v>166153.20000000001</v>
      </c>
      <c r="AF49" s="50">
        <f t="shared" si="66"/>
        <v>-526023</v>
      </c>
      <c r="AG49" s="50">
        <f t="shared" si="73"/>
        <v>80.630224075862273</v>
      </c>
      <c r="AH49" s="12">
        <f t="shared" si="67"/>
        <v>-2348531.8000000003</v>
      </c>
      <c r="AI49" s="50">
        <f t="shared" si="15"/>
        <v>48.249689257198526</v>
      </c>
      <c r="AJ49" s="13" t="e">
        <f>AD49-#REF!</f>
        <v>#REF!</v>
      </c>
      <c r="AK49" s="12" t="e">
        <f>IF(#REF!=0,0,AD49/#REF!*100)</f>
        <v>#REF!</v>
      </c>
      <c r="AL49" s="50">
        <f t="shared" si="10"/>
        <v>-144242.14999999991</v>
      </c>
      <c r="AM49" s="50">
        <v>0</v>
      </c>
      <c r="AN49" s="13">
        <f t="shared" si="12"/>
        <v>1224998.1499999999</v>
      </c>
      <c r="AO49" s="50">
        <v>0</v>
      </c>
      <c r="AP49" s="12">
        <f t="shared" si="68"/>
        <v>0</v>
      </c>
      <c r="AQ49" s="12">
        <f t="shared" si="69"/>
        <v>100</v>
      </c>
      <c r="AR49" s="36">
        <f>5544443-1188891</f>
        <v>4355552</v>
      </c>
    </row>
    <row r="50" spans="1:44" s="10" customFormat="1" ht="23.25" customHeight="1" x14ac:dyDescent="0.3">
      <c r="A50" s="9"/>
      <c r="B50" s="93" t="s">
        <v>1</v>
      </c>
      <c r="C50" s="93"/>
      <c r="D50" s="93"/>
      <c r="E50" s="93"/>
      <c r="F50" s="93"/>
      <c r="G50" s="93"/>
      <c r="H50" s="93"/>
      <c r="I50" s="93"/>
      <c r="J50" s="12">
        <f t="shared" ref="J50:Z50" si="86">J51+J52+J53+J54+J55+J57+J58</f>
        <v>1731743649.9200001</v>
      </c>
      <c r="K50" s="12">
        <f t="shared" si="86"/>
        <v>1726065816.5200002</v>
      </c>
      <c r="L50" s="30">
        <f t="shared" si="86"/>
        <v>754564037.68999994</v>
      </c>
      <c r="M50" s="30">
        <f t="shared" si="86"/>
        <v>750829669.28999996</v>
      </c>
      <c r="N50" s="12">
        <f t="shared" si="86"/>
        <v>1949401304.4499998</v>
      </c>
      <c r="O50" s="12">
        <f t="shared" si="86"/>
        <v>1942881158.9100001</v>
      </c>
      <c r="P50" s="12">
        <f t="shared" si="86"/>
        <v>1942881158.9100001</v>
      </c>
      <c r="Q50" s="12">
        <v>1942881158.9100001</v>
      </c>
      <c r="R50" s="12">
        <f t="shared" si="86"/>
        <v>1942881158.9100001</v>
      </c>
      <c r="S50" s="12">
        <f t="shared" ref="S50" si="87">S51+S52+S53+S54+S55+S57+S58</f>
        <v>2103801442.3299999</v>
      </c>
      <c r="T50" s="12">
        <f>T51+T52+T53+T54+T55+T57+T58+T56</f>
        <v>2042920361.22</v>
      </c>
      <c r="U50" s="12">
        <f t="shared" ref="U50:V50" si="88">U51+U52+U53+U54+U55+U57+U58</f>
        <v>2042920361.22</v>
      </c>
      <c r="V50" s="12">
        <f t="shared" si="88"/>
        <v>219586626.45000002</v>
      </c>
      <c r="W50" s="12">
        <f t="shared" ref="W50:X50" si="89">W51+W52+W53+W54+W55+W57+W58</f>
        <v>219586626.45000002</v>
      </c>
      <c r="X50" s="12">
        <f t="shared" si="89"/>
        <v>1741578685.6100001</v>
      </c>
      <c r="Y50" s="12">
        <f t="shared" si="86"/>
        <v>1820962238.5</v>
      </c>
      <c r="Z50" s="12">
        <f t="shared" si="86"/>
        <v>531101862.33999997</v>
      </c>
      <c r="AA50" s="12">
        <v>22012278.009999998</v>
      </c>
      <c r="AB50" s="12">
        <f>AB51+AB52+AB53+AB54+AB55+AB57+AB58+AB56</f>
        <v>33555878.630000003</v>
      </c>
      <c r="AC50" s="12">
        <v>280464448.43000001</v>
      </c>
      <c r="AD50" s="12">
        <f t="shared" si="8"/>
        <v>314020327.06</v>
      </c>
      <c r="AE50" s="12">
        <f t="shared" si="9"/>
        <v>11543600.620000005</v>
      </c>
      <c r="AF50" s="50">
        <f t="shared" si="66"/>
        <v>-1427558358.5500002</v>
      </c>
      <c r="AG50" s="50">
        <f t="shared" si="73"/>
        <v>18.030786070972855</v>
      </c>
      <c r="AH50" s="12">
        <f t="shared" si="67"/>
        <v>-1506941911.4400001</v>
      </c>
      <c r="AI50" s="50">
        <f t="shared" si="15"/>
        <v>17.244746783913058</v>
      </c>
      <c r="AJ50" s="12" t="e">
        <f>AD50-#REF!</f>
        <v>#REF!</v>
      </c>
      <c r="AK50" s="12" t="e">
        <f>IF(#REF!=0,0,AD50/#REF!*100)</f>
        <v>#REF!</v>
      </c>
      <c r="AL50" s="50">
        <f t="shared" si="10"/>
        <v>-217081535.27999997</v>
      </c>
      <c r="AM50" s="50">
        <f t="shared" si="11"/>
        <v>59.12619580666636</v>
      </c>
      <c r="AN50" s="12">
        <f t="shared" si="12"/>
        <v>94433700.609999985</v>
      </c>
      <c r="AO50" s="50">
        <v>0</v>
      </c>
      <c r="AP50" s="12">
        <f t="shared" si="68"/>
        <v>-436809342.22999996</v>
      </c>
      <c r="AQ50" s="12">
        <f t="shared" si="69"/>
        <v>41.823111140099741</v>
      </c>
      <c r="AR50" s="39" t="e">
        <f t="shared" ref="AR50" si="90">AR51+AR52+AR53+AR54+AR55+AR57+AR58</f>
        <v>#REF!</v>
      </c>
    </row>
    <row r="51" spans="1:44" s="10" customFormat="1" ht="38.25" customHeight="1" x14ac:dyDescent="0.3">
      <c r="A51" s="9"/>
      <c r="B51" s="93" t="s">
        <v>6</v>
      </c>
      <c r="C51" s="93"/>
      <c r="D51" s="93"/>
      <c r="E51" s="93"/>
      <c r="F51" s="93"/>
      <c r="G51" s="93"/>
      <c r="H51" s="93"/>
      <c r="I51" s="93"/>
      <c r="J51" s="12">
        <v>426424900</v>
      </c>
      <c r="K51" s="12">
        <f>J51</f>
        <v>426424900</v>
      </c>
      <c r="L51" s="33">
        <v>201489000</v>
      </c>
      <c r="M51" s="33">
        <f>L51</f>
        <v>201489000</v>
      </c>
      <c r="N51" s="12">
        <v>436509000</v>
      </c>
      <c r="O51" s="12">
        <v>436509000</v>
      </c>
      <c r="P51" s="12">
        <f t="shared" ref="P51:P58" si="91">O51</f>
        <v>436509000</v>
      </c>
      <c r="Q51" s="12">
        <v>436509000</v>
      </c>
      <c r="R51" s="12">
        <f t="shared" ref="R51:R58" si="92">Q51</f>
        <v>436509000</v>
      </c>
      <c r="S51" s="12">
        <v>438762000</v>
      </c>
      <c r="T51" s="12">
        <v>438762000</v>
      </c>
      <c r="U51" s="12">
        <f t="shared" ref="U51:W58" si="93">T51</f>
        <v>438762000</v>
      </c>
      <c r="V51" s="12">
        <v>95261455</v>
      </c>
      <c r="W51" s="12">
        <f t="shared" si="93"/>
        <v>95261455</v>
      </c>
      <c r="X51" s="12">
        <v>543282000</v>
      </c>
      <c r="Y51" s="12">
        <v>543282000</v>
      </c>
      <c r="Z51" s="12">
        <v>135820500</v>
      </c>
      <c r="AA51" s="12">
        <v>0</v>
      </c>
      <c r="AB51" s="12">
        <v>27407229</v>
      </c>
      <c r="AC51" s="12">
        <v>90547000</v>
      </c>
      <c r="AD51" s="12">
        <f t="shared" si="8"/>
        <v>117954229</v>
      </c>
      <c r="AE51" s="12">
        <f t="shared" si="9"/>
        <v>27407229</v>
      </c>
      <c r="AF51" s="50">
        <f t="shared" si="66"/>
        <v>-425327771</v>
      </c>
      <c r="AG51" s="50">
        <f t="shared" si="73"/>
        <v>21.711418563471639</v>
      </c>
      <c r="AH51" s="12">
        <f t="shared" si="67"/>
        <v>-425327771</v>
      </c>
      <c r="AI51" s="50">
        <f t="shared" si="15"/>
        <v>21.711418563471639</v>
      </c>
      <c r="AJ51" s="12" t="e">
        <f>AD51-#REF!</f>
        <v>#REF!</v>
      </c>
      <c r="AK51" s="12" t="e">
        <f>IF(#REF!=0,0,AD51/#REF!*100)</f>
        <v>#REF!</v>
      </c>
      <c r="AL51" s="50">
        <f t="shared" si="10"/>
        <v>-17866271</v>
      </c>
      <c r="AM51" s="50">
        <f t="shared" si="11"/>
        <v>86.845674253886557</v>
      </c>
      <c r="AN51" s="12">
        <f t="shared" si="12"/>
        <v>22692774</v>
      </c>
      <c r="AO51" s="50">
        <v>0</v>
      </c>
      <c r="AP51" s="12">
        <f t="shared" si="68"/>
        <v>-83534771</v>
      </c>
      <c r="AQ51" s="12">
        <f t="shared" si="69"/>
        <v>58.541274709785654</v>
      </c>
      <c r="AR51" s="39">
        <v>436509000</v>
      </c>
    </row>
    <row r="52" spans="1:44" s="10" customFormat="1" ht="43.5" customHeight="1" x14ac:dyDescent="0.3">
      <c r="A52" s="9"/>
      <c r="B52" s="93" t="s">
        <v>5</v>
      </c>
      <c r="C52" s="93"/>
      <c r="D52" s="93"/>
      <c r="E52" s="93"/>
      <c r="F52" s="93"/>
      <c r="G52" s="93"/>
      <c r="H52" s="93"/>
      <c r="I52" s="93"/>
      <c r="J52" s="12">
        <v>276999912.48000002</v>
      </c>
      <c r="K52" s="12">
        <f>J52</f>
        <v>276999912.48000002</v>
      </c>
      <c r="L52" s="33">
        <v>68252184.099999994</v>
      </c>
      <c r="M52" s="33">
        <f>L52</f>
        <v>68252184.099999994</v>
      </c>
      <c r="N52" s="12">
        <v>269127448.56</v>
      </c>
      <c r="O52" s="12">
        <v>266680542.02000001</v>
      </c>
      <c r="P52" s="12">
        <f t="shared" si="91"/>
        <v>266680542.02000001</v>
      </c>
      <c r="Q52" s="12">
        <v>266680542.02000001</v>
      </c>
      <c r="R52" s="12">
        <f t="shared" si="92"/>
        <v>266680542.02000001</v>
      </c>
      <c r="S52" s="12">
        <v>334173445.74000001</v>
      </c>
      <c r="T52" s="12">
        <v>272079804.92000002</v>
      </c>
      <c r="U52" s="12">
        <f t="shared" si="93"/>
        <v>272079804.92000002</v>
      </c>
      <c r="V52" s="12">
        <v>3955034.08</v>
      </c>
      <c r="W52" s="12">
        <f t="shared" si="93"/>
        <v>3955034.08</v>
      </c>
      <c r="X52" s="12">
        <v>164450526.09999999</v>
      </c>
      <c r="Y52" s="12">
        <v>242834078.99000001</v>
      </c>
      <c r="Z52" s="12">
        <v>14772255.119999999</v>
      </c>
      <c r="AA52" s="12">
        <v>28203.68</v>
      </c>
      <c r="AB52" s="12">
        <v>15772.21</v>
      </c>
      <c r="AC52" s="12">
        <v>5547996.8799999999</v>
      </c>
      <c r="AD52" s="12">
        <f t="shared" si="8"/>
        <v>5563769.0899999999</v>
      </c>
      <c r="AE52" s="12">
        <f t="shared" si="9"/>
        <v>-12431.470000000001</v>
      </c>
      <c r="AF52" s="50">
        <f t="shared" si="66"/>
        <v>-158886757.00999999</v>
      </c>
      <c r="AG52" s="50">
        <f t="shared" si="73"/>
        <v>3.3832479724733457</v>
      </c>
      <c r="AH52" s="12">
        <f t="shared" si="67"/>
        <v>-237270309.90000001</v>
      </c>
      <c r="AI52" s="50">
        <f t="shared" si="15"/>
        <v>2.2911813338312856</v>
      </c>
      <c r="AJ52" s="12" t="e">
        <f>AD52-#REF!</f>
        <v>#REF!</v>
      </c>
      <c r="AK52" s="12" t="e">
        <f>IF(#REF!=0,0,AD52/#REF!*100)</f>
        <v>#REF!</v>
      </c>
      <c r="AL52" s="50">
        <f t="shared" si="10"/>
        <v>-9208486.0299999993</v>
      </c>
      <c r="AM52" s="50">
        <f t="shared" si="11"/>
        <v>37.663640688599209</v>
      </c>
      <c r="AN52" s="12">
        <f t="shared" si="12"/>
        <v>1608735.0099999998</v>
      </c>
      <c r="AO52" s="50">
        <v>0</v>
      </c>
      <c r="AP52" s="12">
        <f t="shared" si="68"/>
        <v>-62688415.00999999</v>
      </c>
      <c r="AQ52" s="12">
        <f t="shared" si="69"/>
        <v>8.1517817537505</v>
      </c>
      <c r="AR52" s="39" t="e">
        <f>#REF!</f>
        <v>#REF!</v>
      </c>
    </row>
    <row r="53" spans="1:44" s="10" customFormat="1" ht="45" customHeight="1" x14ac:dyDescent="0.3">
      <c r="A53" s="9"/>
      <c r="B53" s="93" t="s">
        <v>4</v>
      </c>
      <c r="C53" s="93"/>
      <c r="D53" s="93"/>
      <c r="E53" s="93"/>
      <c r="F53" s="93"/>
      <c r="G53" s="93"/>
      <c r="H53" s="93"/>
      <c r="I53" s="93"/>
      <c r="J53" s="12">
        <v>1016038865.97</v>
      </c>
      <c r="K53" s="12">
        <f>J53</f>
        <v>1016038865.97</v>
      </c>
      <c r="L53" s="33">
        <v>484498682.12</v>
      </c>
      <c r="M53" s="33">
        <f>L53</f>
        <v>484498682.12</v>
      </c>
      <c r="N53" s="12">
        <v>1212771110.75</v>
      </c>
      <c r="O53" s="12">
        <v>1213354064.45</v>
      </c>
      <c r="P53" s="12">
        <f t="shared" si="91"/>
        <v>1213354064.45</v>
      </c>
      <c r="Q53" s="12">
        <v>1213354064.45</v>
      </c>
      <c r="R53" s="12">
        <f t="shared" si="92"/>
        <v>1213354064.45</v>
      </c>
      <c r="S53" s="12">
        <f>1189020177.56+105547909.8</f>
        <v>1294568087.3599999</v>
      </c>
      <c r="T53" s="12">
        <v>1296521696.0999999</v>
      </c>
      <c r="U53" s="12">
        <f t="shared" si="93"/>
        <v>1296521696.0999999</v>
      </c>
      <c r="V53" s="12">
        <v>207220145.05000001</v>
      </c>
      <c r="W53" s="12">
        <f t="shared" si="93"/>
        <v>207220145.05000001</v>
      </c>
      <c r="X53" s="12">
        <v>1032066181.7</v>
      </c>
      <c r="Y53" s="12">
        <v>1032066181.7</v>
      </c>
      <c r="Z53" s="12">
        <v>379087970.13</v>
      </c>
      <c r="AA53" s="12">
        <v>21984074.329999998</v>
      </c>
      <c r="AB53" s="12">
        <v>4521039.38</v>
      </c>
      <c r="AC53" s="12">
        <v>185156740.44999999</v>
      </c>
      <c r="AD53" s="12">
        <f t="shared" si="8"/>
        <v>189677779.82999998</v>
      </c>
      <c r="AE53" s="12">
        <f t="shared" si="9"/>
        <v>-17463034.949999999</v>
      </c>
      <c r="AF53" s="50">
        <f t="shared" si="66"/>
        <v>-842388401.87000012</v>
      </c>
      <c r="AG53" s="50">
        <f t="shared" si="73"/>
        <v>18.378451226603154</v>
      </c>
      <c r="AH53" s="12">
        <f t="shared" si="67"/>
        <v>-842388401.87000012</v>
      </c>
      <c r="AI53" s="50">
        <f t="shared" si="15"/>
        <v>18.378451226603154</v>
      </c>
      <c r="AJ53" s="12" t="e">
        <f>AD53-#REF!</f>
        <v>#REF!</v>
      </c>
      <c r="AK53" s="12" t="e">
        <f>IF(#REF!=0,0,AD53/#REF!*100)</f>
        <v>#REF!</v>
      </c>
      <c r="AL53" s="50">
        <f t="shared" si="10"/>
        <v>-189410190.30000001</v>
      </c>
      <c r="AM53" s="50">
        <f t="shared" si="11"/>
        <v>50.035293856714603</v>
      </c>
      <c r="AN53" s="12">
        <f t="shared" si="12"/>
        <v>-17542365.220000029</v>
      </c>
      <c r="AO53" s="50">
        <v>0</v>
      </c>
      <c r="AP53" s="12">
        <f t="shared" si="68"/>
        <v>-294820902.29000002</v>
      </c>
      <c r="AQ53" s="12">
        <f t="shared" si="69"/>
        <v>39.149287052760414</v>
      </c>
      <c r="AR53" s="39" t="e">
        <f>#REF!</f>
        <v>#REF!</v>
      </c>
    </row>
    <row r="54" spans="1:44" s="10" customFormat="1" ht="27" customHeight="1" x14ac:dyDescent="0.3">
      <c r="A54" s="9"/>
      <c r="B54" s="93" t="s">
        <v>3</v>
      </c>
      <c r="C54" s="93"/>
      <c r="D54" s="93"/>
      <c r="E54" s="93"/>
      <c r="F54" s="93"/>
      <c r="G54" s="93"/>
      <c r="H54" s="93"/>
      <c r="I54" s="93"/>
      <c r="J54" s="12">
        <v>11684333.98</v>
      </c>
      <c r="K54" s="12">
        <f>J54</f>
        <v>11684333.98</v>
      </c>
      <c r="L54" s="33">
        <v>529400.43000000005</v>
      </c>
      <c r="M54" s="33">
        <f>L54</f>
        <v>529400.43000000005</v>
      </c>
      <c r="N54" s="12">
        <v>36412363.109999999</v>
      </c>
      <c r="O54" s="12">
        <v>31536396.41</v>
      </c>
      <c r="P54" s="12">
        <f t="shared" si="91"/>
        <v>31536396.41</v>
      </c>
      <c r="Q54" s="12">
        <v>31536396.41</v>
      </c>
      <c r="R54" s="12">
        <f t="shared" si="92"/>
        <v>31536396.41</v>
      </c>
      <c r="S54" s="12">
        <v>59992663.990000002</v>
      </c>
      <c r="T54" s="12">
        <v>59251614.960000001</v>
      </c>
      <c r="U54" s="12">
        <f t="shared" si="93"/>
        <v>59251614.960000001</v>
      </c>
      <c r="V54" s="12">
        <v>245584.55</v>
      </c>
      <c r="W54" s="12">
        <f t="shared" si="93"/>
        <v>245584.55</v>
      </c>
      <c r="X54" s="12">
        <v>1779977.81</v>
      </c>
      <c r="Y54" s="12">
        <v>2779977.81</v>
      </c>
      <c r="Z54" s="12">
        <v>1421137.09</v>
      </c>
      <c r="AA54" s="12">
        <v>0</v>
      </c>
      <c r="AB54" s="12">
        <v>1140379.03</v>
      </c>
      <c r="AC54" s="12">
        <v>280758.06</v>
      </c>
      <c r="AD54" s="12">
        <f t="shared" si="8"/>
        <v>1421137.09</v>
      </c>
      <c r="AE54" s="12">
        <f t="shared" si="9"/>
        <v>1140379.03</v>
      </c>
      <c r="AF54" s="50">
        <f t="shared" si="66"/>
        <v>-358840.72</v>
      </c>
      <c r="AG54" s="50">
        <f t="shared" si="73"/>
        <v>79.840157670280178</v>
      </c>
      <c r="AH54" s="12">
        <f t="shared" si="67"/>
        <v>-1358840.72</v>
      </c>
      <c r="AI54" s="50">
        <f t="shared" si="15"/>
        <v>51.120447252778618</v>
      </c>
      <c r="AJ54" s="12" t="e">
        <f>AD54-#REF!</f>
        <v>#REF!</v>
      </c>
      <c r="AK54" s="12" t="e">
        <f>IF(#REF!=0,0,AD54/#REF!*100)</f>
        <v>#REF!</v>
      </c>
      <c r="AL54" s="50">
        <f t="shared" si="10"/>
        <v>0</v>
      </c>
      <c r="AM54" s="50">
        <f t="shared" si="11"/>
        <v>100</v>
      </c>
      <c r="AN54" s="12">
        <f t="shared" si="12"/>
        <v>1175552.54</v>
      </c>
      <c r="AO54" s="50">
        <v>0</v>
      </c>
      <c r="AP54" s="12">
        <f t="shared" si="68"/>
        <v>891736.66</v>
      </c>
      <c r="AQ54" s="12">
        <f t="shared" si="69"/>
        <v>268.44275324823593</v>
      </c>
      <c r="AR54" s="39" t="e">
        <f>#REF!</f>
        <v>#REF!</v>
      </c>
    </row>
    <row r="55" spans="1:44" s="10" customFormat="1" ht="39" customHeight="1" x14ac:dyDescent="0.3">
      <c r="A55" s="9"/>
      <c r="B55" s="93" t="s">
        <v>2</v>
      </c>
      <c r="C55" s="93"/>
      <c r="D55" s="93"/>
      <c r="E55" s="93"/>
      <c r="F55" s="93"/>
      <c r="G55" s="93"/>
      <c r="H55" s="93"/>
      <c r="I55" s="93"/>
      <c r="J55" s="12">
        <v>6004588.7999999998</v>
      </c>
      <c r="K55" s="15">
        <f>J55-5677833.4</f>
        <v>326755.39999999944</v>
      </c>
      <c r="L55" s="31">
        <v>3749513.5</v>
      </c>
      <c r="M55" s="31">
        <v>15145.1</v>
      </c>
      <c r="N55" s="12">
        <v>78874.100000000006</v>
      </c>
      <c r="O55" s="12">
        <v>18244.099999999999</v>
      </c>
      <c r="P55" s="12">
        <f t="shared" si="91"/>
        <v>18244.099999999999</v>
      </c>
      <c r="Q55" s="12">
        <v>18244.099999999999</v>
      </c>
      <c r="R55" s="12">
        <f t="shared" si="92"/>
        <v>18244.099999999999</v>
      </c>
      <c r="S55" s="12">
        <v>76908.460000000006</v>
      </c>
      <c r="T55" s="12">
        <v>76908.460000000006</v>
      </c>
      <c r="U55" s="12">
        <f t="shared" si="93"/>
        <v>76908.460000000006</v>
      </c>
      <c r="V55" s="12">
        <v>1376.38</v>
      </c>
      <c r="W55" s="12">
        <f t="shared" si="93"/>
        <v>1376.38</v>
      </c>
      <c r="X55" s="12">
        <v>0</v>
      </c>
      <c r="Y55" s="12">
        <v>0</v>
      </c>
      <c r="Z55" s="12">
        <v>0</v>
      </c>
      <c r="AA55" s="12">
        <v>0</v>
      </c>
      <c r="AB55" s="12">
        <v>1150</v>
      </c>
      <c r="AC55" s="12">
        <v>2043.4</v>
      </c>
      <c r="AD55" s="12">
        <f t="shared" si="8"/>
        <v>3193.4</v>
      </c>
      <c r="AE55" s="12">
        <f t="shared" si="9"/>
        <v>1150</v>
      </c>
      <c r="AF55" s="50">
        <f t="shared" si="66"/>
        <v>3193.4</v>
      </c>
      <c r="AG55" s="50">
        <v>0</v>
      </c>
      <c r="AH55" s="12">
        <f t="shared" si="67"/>
        <v>3193.4</v>
      </c>
      <c r="AI55" s="50">
        <v>0</v>
      </c>
      <c r="AJ55" s="12" t="e">
        <f>AD55-#REF!</f>
        <v>#REF!</v>
      </c>
      <c r="AK55" s="12" t="e">
        <f>IF(#REF!=0,0,AD55/#REF!*100)</f>
        <v>#REF!</v>
      </c>
      <c r="AL55" s="50">
        <f t="shared" si="10"/>
        <v>3193.4</v>
      </c>
      <c r="AM55" s="50">
        <v>0</v>
      </c>
      <c r="AN55" s="12">
        <f t="shared" si="12"/>
        <v>1817.02</v>
      </c>
      <c r="AO55" s="50">
        <v>0</v>
      </c>
      <c r="AP55" s="12">
        <f t="shared" si="68"/>
        <v>-11951.7</v>
      </c>
      <c r="AQ55" s="12">
        <f t="shared" si="69"/>
        <v>21.085367544618393</v>
      </c>
      <c r="AR55" s="39">
        <f>AD55</f>
        <v>3193.4</v>
      </c>
    </row>
    <row r="56" spans="1:44" s="10" customFormat="1" ht="171.75" customHeight="1" x14ac:dyDescent="0.3">
      <c r="A56" s="9"/>
      <c r="B56" s="65"/>
      <c r="C56" s="65"/>
      <c r="D56" s="65"/>
      <c r="E56" s="65"/>
      <c r="F56" s="65"/>
      <c r="G56" s="65"/>
      <c r="H56" s="65"/>
      <c r="I56" s="68" t="s">
        <v>69</v>
      </c>
      <c r="J56" s="60"/>
      <c r="K56" s="61"/>
      <c r="L56" s="31"/>
      <c r="M56" s="31"/>
      <c r="N56" s="12"/>
      <c r="O56" s="12"/>
      <c r="P56" s="12">
        <v>0</v>
      </c>
      <c r="Q56" s="12"/>
      <c r="R56" s="12">
        <v>0</v>
      </c>
      <c r="S56" s="12">
        <v>0</v>
      </c>
      <c r="T56" s="12">
        <v>0</v>
      </c>
      <c r="U56" s="12">
        <v>0</v>
      </c>
      <c r="V56" s="12">
        <v>0</v>
      </c>
      <c r="W56" s="12">
        <v>0</v>
      </c>
      <c r="X56" s="12">
        <v>0</v>
      </c>
      <c r="Y56" s="12">
        <v>0</v>
      </c>
      <c r="Z56" s="12">
        <v>0</v>
      </c>
      <c r="AA56" s="12">
        <v>0</v>
      </c>
      <c r="AB56" s="12">
        <v>0</v>
      </c>
      <c r="AC56" s="12">
        <v>0</v>
      </c>
      <c r="AD56" s="12">
        <f t="shared" si="8"/>
        <v>0</v>
      </c>
      <c r="AE56" s="12">
        <f>AB56-AA56</f>
        <v>0</v>
      </c>
      <c r="AF56" s="50">
        <f t="shared" si="66"/>
        <v>0</v>
      </c>
      <c r="AG56" s="50">
        <v>0</v>
      </c>
      <c r="AH56" s="12">
        <f t="shared" si="67"/>
        <v>0</v>
      </c>
      <c r="AI56" s="50">
        <v>0</v>
      </c>
      <c r="AJ56" s="12" t="e">
        <f>AD56-#REF!</f>
        <v>#REF!</v>
      </c>
      <c r="AK56" s="12" t="e">
        <f>IF(#REF!=0,0,AD56/#REF!*100)</f>
        <v>#REF!</v>
      </c>
      <c r="AL56" s="50">
        <f t="shared" si="10"/>
        <v>0</v>
      </c>
      <c r="AM56" s="50">
        <v>0</v>
      </c>
      <c r="AN56" s="12">
        <f>AD56-W56</f>
        <v>0</v>
      </c>
      <c r="AO56" s="50">
        <v>0</v>
      </c>
      <c r="AP56" s="12"/>
      <c r="AQ56" s="12"/>
      <c r="AR56" s="39"/>
    </row>
    <row r="57" spans="1:44" s="10" customFormat="1" ht="120" customHeight="1" x14ac:dyDescent="0.3">
      <c r="A57" s="9"/>
      <c r="B57" s="65"/>
      <c r="C57" s="65"/>
      <c r="D57" s="65"/>
      <c r="E57" s="65"/>
      <c r="F57" s="65"/>
      <c r="G57" s="65"/>
      <c r="H57" s="65"/>
      <c r="I57" s="65" t="s">
        <v>43</v>
      </c>
      <c r="J57" s="12">
        <v>0</v>
      </c>
      <c r="K57" s="12">
        <f>J57</f>
        <v>0</v>
      </c>
      <c r="L57" s="33">
        <v>0</v>
      </c>
      <c r="M57" s="33">
        <f>L57</f>
        <v>0</v>
      </c>
      <c r="N57" s="12">
        <v>0</v>
      </c>
      <c r="O57" s="12">
        <v>280404</v>
      </c>
      <c r="P57" s="12">
        <f t="shared" si="91"/>
        <v>280404</v>
      </c>
      <c r="Q57" s="12">
        <v>280404</v>
      </c>
      <c r="R57" s="12">
        <f t="shared" si="92"/>
        <v>280404</v>
      </c>
      <c r="S57" s="12">
        <v>0</v>
      </c>
      <c r="T57" s="12">
        <v>0</v>
      </c>
      <c r="U57" s="12">
        <f t="shared" si="93"/>
        <v>0</v>
      </c>
      <c r="V57" s="12">
        <v>235045.3</v>
      </c>
      <c r="W57" s="12">
        <f t="shared" si="93"/>
        <v>235045.3</v>
      </c>
      <c r="X57" s="12">
        <v>0</v>
      </c>
      <c r="Y57" s="12">
        <v>0</v>
      </c>
      <c r="Z57" s="12">
        <v>0</v>
      </c>
      <c r="AA57" s="12">
        <v>0</v>
      </c>
      <c r="AB57" s="12">
        <v>-27124.19</v>
      </c>
      <c r="AC57" s="12">
        <v>27674.329999999998</v>
      </c>
      <c r="AD57" s="12">
        <f t="shared" si="8"/>
        <v>550.13999999999942</v>
      </c>
      <c r="AE57" s="12">
        <f t="shared" si="9"/>
        <v>-27124.19</v>
      </c>
      <c r="AF57" s="50">
        <f t="shared" si="66"/>
        <v>550.13999999999942</v>
      </c>
      <c r="AG57" s="50">
        <v>0</v>
      </c>
      <c r="AH57" s="12">
        <f t="shared" si="67"/>
        <v>550.13999999999942</v>
      </c>
      <c r="AI57" s="50">
        <v>0</v>
      </c>
      <c r="AJ57" s="12" t="e">
        <f>AD57-#REF!</f>
        <v>#REF!</v>
      </c>
      <c r="AK57" s="12" t="e">
        <f>IF(#REF!=0,0,AD57/#REF!*100)</f>
        <v>#REF!</v>
      </c>
      <c r="AL57" s="50">
        <f t="shared" si="10"/>
        <v>550.13999999999942</v>
      </c>
      <c r="AM57" s="50">
        <v>0</v>
      </c>
      <c r="AN57" s="12">
        <f t="shared" si="12"/>
        <v>-234495.15999999997</v>
      </c>
      <c r="AO57" s="50">
        <v>0</v>
      </c>
      <c r="AP57" s="12">
        <f>AD57-M57</f>
        <v>550.13999999999942</v>
      </c>
      <c r="AQ57" s="12">
        <f>IF(M57=0,0,AD57/M57*100)</f>
        <v>0</v>
      </c>
      <c r="AR57" s="39">
        <f>AD57</f>
        <v>550.13999999999942</v>
      </c>
    </row>
    <row r="58" spans="1:44" s="10" customFormat="1" ht="78.75" customHeight="1" x14ac:dyDescent="0.3">
      <c r="A58" s="9"/>
      <c r="B58" s="93" t="s">
        <v>0</v>
      </c>
      <c r="C58" s="93"/>
      <c r="D58" s="93"/>
      <c r="E58" s="93"/>
      <c r="F58" s="93"/>
      <c r="G58" s="93"/>
      <c r="H58" s="93"/>
      <c r="I58" s="93"/>
      <c r="J58" s="12">
        <v>-5408951.3099999996</v>
      </c>
      <c r="K58" s="12">
        <f>J58</f>
        <v>-5408951.3099999996</v>
      </c>
      <c r="L58" s="33">
        <v>-3954742.46</v>
      </c>
      <c r="M58" s="33">
        <f>L58</f>
        <v>-3954742.46</v>
      </c>
      <c r="N58" s="12">
        <v>-5497492.0700000003</v>
      </c>
      <c r="O58" s="12">
        <v>-5497492.0700000003</v>
      </c>
      <c r="P58" s="12">
        <f t="shared" si="91"/>
        <v>-5497492.0700000003</v>
      </c>
      <c r="Q58" s="12">
        <v>-5497492.0700000003</v>
      </c>
      <c r="R58" s="12">
        <f t="shared" si="92"/>
        <v>-5497492.0700000003</v>
      </c>
      <c r="S58" s="12">
        <v>-23771663.220000003</v>
      </c>
      <c r="T58" s="12">
        <v>-23771663.219999999</v>
      </c>
      <c r="U58" s="12">
        <f t="shared" si="93"/>
        <v>-23771663.219999999</v>
      </c>
      <c r="V58" s="12">
        <v>-87332013.909999996</v>
      </c>
      <c r="W58" s="12">
        <f t="shared" si="93"/>
        <v>-87332013.909999996</v>
      </c>
      <c r="X58" s="12">
        <v>0</v>
      </c>
      <c r="Y58" s="12">
        <v>0</v>
      </c>
      <c r="Z58" s="12">
        <v>0</v>
      </c>
      <c r="AA58" s="12">
        <v>0</v>
      </c>
      <c r="AB58" s="12">
        <v>497433.2</v>
      </c>
      <c r="AC58" s="12">
        <v>-1097764.69</v>
      </c>
      <c r="AD58" s="12">
        <f t="shared" si="8"/>
        <v>-600331.49</v>
      </c>
      <c r="AE58" s="12">
        <f t="shared" si="9"/>
        <v>497433.2</v>
      </c>
      <c r="AF58" s="50">
        <f t="shared" si="66"/>
        <v>-600331.49</v>
      </c>
      <c r="AG58" s="50">
        <v>0</v>
      </c>
      <c r="AH58" s="12">
        <f t="shared" si="67"/>
        <v>-600331.49</v>
      </c>
      <c r="AI58" s="50">
        <v>0</v>
      </c>
      <c r="AJ58" s="12" t="e">
        <f>AD58-#REF!</f>
        <v>#REF!</v>
      </c>
      <c r="AK58" s="12" t="e">
        <f>IF(#REF!=0,0,AD58/#REF!*100)</f>
        <v>#REF!</v>
      </c>
      <c r="AL58" s="50">
        <f t="shared" si="10"/>
        <v>-600331.49</v>
      </c>
      <c r="AM58" s="50">
        <v>0</v>
      </c>
      <c r="AN58" s="12">
        <f t="shared" si="12"/>
        <v>86731682.420000002</v>
      </c>
      <c r="AO58" s="50">
        <v>0</v>
      </c>
      <c r="AP58" s="12">
        <f>AD58-M58</f>
        <v>3354410.9699999997</v>
      </c>
      <c r="AQ58" s="12">
        <f>IF(M58=0,0,AD58/M58*100)</f>
        <v>15.180040067640713</v>
      </c>
      <c r="AR58" s="39">
        <f>AD58</f>
        <v>-600331.49</v>
      </c>
    </row>
    <row r="59" spans="1:44" s="5" customFormat="1" ht="18.75" x14ac:dyDescent="0.3">
      <c r="A59" s="4"/>
      <c r="B59" s="8"/>
      <c r="C59" s="8"/>
      <c r="D59" s="8"/>
      <c r="E59" s="8"/>
      <c r="F59" s="8"/>
      <c r="G59" s="8"/>
      <c r="H59" s="8"/>
      <c r="I59" s="8"/>
      <c r="J59" s="13">
        <f t="shared" ref="J59:AB59" si="94">J50+J7</f>
        <v>2092393430.8699999</v>
      </c>
      <c r="K59" s="13">
        <f t="shared" si="94"/>
        <v>2072707717.7351346</v>
      </c>
      <c r="L59" s="32">
        <f t="shared" si="94"/>
        <v>881017080.54999995</v>
      </c>
      <c r="M59" s="30">
        <f t="shared" si="94"/>
        <v>871996906.86554313</v>
      </c>
      <c r="N59" s="12">
        <f t="shared" si="94"/>
        <v>2309803775.2699995</v>
      </c>
      <c r="O59" s="12">
        <f t="shared" si="94"/>
        <v>2328450949.6999998</v>
      </c>
      <c r="P59" s="12">
        <f t="shared" si="94"/>
        <v>2327457942.815587</v>
      </c>
      <c r="Q59" s="12">
        <f t="shared" si="94"/>
        <v>2328450949.6999998</v>
      </c>
      <c r="R59" s="12">
        <f t="shared" si="94"/>
        <v>2324740009.4155874</v>
      </c>
      <c r="S59" s="12">
        <f>S50+S7</f>
        <v>2486687790.5499997</v>
      </c>
      <c r="T59" s="12">
        <f>T50+T7</f>
        <v>2448866192.1799998</v>
      </c>
      <c r="U59" s="12">
        <f>U50+U7</f>
        <v>2457887450.5146742</v>
      </c>
      <c r="V59" s="12">
        <f>V50+V7</f>
        <v>267517661.55000001</v>
      </c>
      <c r="W59" s="12">
        <f>W50+W7</f>
        <v>268634499.12226468</v>
      </c>
      <c r="X59" s="12">
        <f t="shared" ref="X59" si="95">X50+X7</f>
        <v>2141993785.2600002</v>
      </c>
      <c r="Y59" s="12">
        <f t="shared" si="94"/>
        <v>2264059612.7199998</v>
      </c>
      <c r="Z59" s="12">
        <f t="shared" si="94"/>
        <v>611065635.50999999</v>
      </c>
      <c r="AA59" s="12">
        <f t="shared" ref="AA59" si="96">AA50+AA7</f>
        <v>21104966.479999997</v>
      </c>
      <c r="AB59" s="12">
        <f t="shared" si="94"/>
        <v>50692624.850000009</v>
      </c>
      <c r="AC59" s="12">
        <f>AC50+AC7</f>
        <v>301401348.05000001</v>
      </c>
      <c r="AD59" s="12">
        <f>AD50+AD7</f>
        <v>352093972.89999998</v>
      </c>
      <c r="AE59" s="12">
        <f t="shared" si="9"/>
        <v>29587658.370000012</v>
      </c>
      <c r="AF59" s="12">
        <f t="shared" si="66"/>
        <v>-1789899812.3600001</v>
      </c>
      <c r="AG59" s="12">
        <f>AD59/X59*100</f>
        <v>16.437674811332936</v>
      </c>
      <c r="AH59" s="12">
        <f t="shared" si="67"/>
        <v>-1911965639.8199997</v>
      </c>
      <c r="AI59" s="12">
        <f t="shared" si="15"/>
        <v>15.551444446155759</v>
      </c>
      <c r="AJ59" s="12" t="e">
        <f>AD59-#REF!</f>
        <v>#REF!</v>
      </c>
      <c r="AK59" s="12" t="e">
        <f>IF(#REF!=0,0,AD59/#REF!*100)</f>
        <v>#REF!</v>
      </c>
      <c r="AL59" s="12">
        <f t="shared" si="10"/>
        <v>-258971662.61000001</v>
      </c>
      <c r="AM59" s="12">
        <f t="shared" si="11"/>
        <v>57.619665129121465</v>
      </c>
      <c r="AN59" s="12">
        <f t="shared" si="12"/>
        <v>83459473.777735293</v>
      </c>
      <c r="AO59" s="12">
        <f t="shared" si="16"/>
        <v>131.0680400508611</v>
      </c>
      <c r="AP59" s="12">
        <f>AD59-M59</f>
        <v>-519902933.96554315</v>
      </c>
      <c r="AQ59" s="12">
        <f>IF(M59=0,0,AD59/M59*100)</f>
        <v>40.377892413131093</v>
      </c>
      <c r="AR59" s="36" t="e">
        <f>AR50+AR7</f>
        <v>#REF!</v>
      </c>
    </row>
    <row r="60" spans="1:44" s="5" customFormat="1" ht="18.75" x14ac:dyDescent="0.3">
      <c r="A60" s="4"/>
      <c r="B60" s="4"/>
      <c r="C60" s="4"/>
      <c r="D60" s="4"/>
      <c r="E60" s="4"/>
      <c r="F60" s="4"/>
      <c r="G60" s="4"/>
      <c r="H60" s="4"/>
      <c r="I60" s="4"/>
      <c r="J60" s="28"/>
      <c r="K60" s="28"/>
      <c r="L60" s="4"/>
      <c r="M60" s="4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9"/>
      <c r="AK60" s="24"/>
      <c r="AL60" s="25"/>
      <c r="AM60" s="25"/>
      <c r="AN60" s="28"/>
      <c r="AO60" s="25"/>
      <c r="AP60" s="25"/>
      <c r="AQ60" s="34"/>
    </row>
    <row r="61" spans="1:44" s="5" customFormat="1" ht="18.75" x14ac:dyDescent="0.3">
      <c r="I61" s="5" t="s">
        <v>53</v>
      </c>
      <c r="J61" s="5" t="s">
        <v>42</v>
      </c>
      <c r="N61" s="5" t="s">
        <v>42</v>
      </c>
      <c r="Q61" s="18"/>
      <c r="R61" s="18"/>
      <c r="S61" s="18"/>
      <c r="T61" s="18"/>
      <c r="U61" s="18"/>
      <c r="V61" s="18"/>
      <c r="W61" s="18"/>
      <c r="X61" s="18"/>
      <c r="Y61" s="18"/>
      <c r="Z61" s="18"/>
      <c r="AB61" s="72"/>
      <c r="AC61" s="73"/>
      <c r="AD61" s="72"/>
      <c r="AH61" s="72"/>
      <c r="AI61" s="94"/>
      <c r="AJ61" s="94"/>
      <c r="AK61" s="94"/>
      <c r="AL61" s="94"/>
      <c r="AM61" s="94"/>
      <c r="AN61" s="94"/>
    </row>
    <row r="62" spans="1:44" s="5" customFormat="1" ht="18.75" x14ac:dyDescent="0.3">
      <c r="I62" s="5" t="s">
        <v>46</v>
      </c>
      <c r="O62" s="5" t="s">
        <v>42</v>
      </c>
      <c r="Q62" s="18"/>
      <c r="Y62" s="5" t="s">
        <v>42</v>
      </c>
    </row>
    <row r="63" spans="1:44" s="5" customFormat="1" ht="18.75" customHeight="1" x14ac:dyDescent="0.3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71"/>
      <c r="AE63" s="4"/>
      <c r="AF63" s="4"/>
      <c r="AG63" s="4"/>
      <c r="AH63" s="4"/>
      <c r="AI63" s="4"/>
      <c r="AJ63" s="4"/>
      <c r="AK63" s="25"/>
      <c r="AL63" s="25"/>
      <c r="AM63" s="25"/>
      <c r="AN63" s="4"/>
      <c r="AO63" s="4"/>
      <c r="AP63" s="4"/>
    </row>
    <row r="64" spans="1:44" s="5" customFormat="1" ht="18.75" hidden="1" x14ac:dyDescent="0.3">
      <c r="I64" s="5" t="s">
        <v>53</v>
      </c>
      <c r="J64" s="5" t="s">
        <v>42</v>
      </c>
      <c r="N64" s="5" t="s">
        <v>42</v>
      </c>
      <c r="O64" s="5" t="s">
        <v>42</v>
      </c>
      <c r="Q64" s="18"/>
      <c r="R64" s="18"/>
      <c r="S64" s="18"/>
      <c r="T64" s="18"/>
      <c r="U64" s="18"/>
      <c r="V64" s="18"/>
      <c r="W64" s="18"/>
      <c r="X64" s="18"/>
      <c r="Y64" s="18"/>
      <c r="Z64" s="18"/>
    </row>
    <row r="65" spans="9:28" s="5" customFormat="1" ht="18.75" hidden="1" x14ac:dyDescent="0.3">
      <c r="I65" s="5" t="s">
        <v>46</v>
      </c>
      <c r="R65" s="5" t="s">
        <v>42</v>
      </c>
    </row>
    <row r="66" spans="9:28" s="5" customFormat="1" ht="18.75" x14ac:dyDescent="0.3">
      <c r="Q66" s="18"/>
      <c r="V66" s="18"/>
    </row>
    <row r="67" spans="9:28" x14ac:dyDescent="0.2">
      <c r="Q67" s="16"/>
      <c r="AB67" s="16"/>
    </row>
    <row r="68" spans="9:28" x14ac:dyDescent="0.2">
      <c r="K68" s="16"/>
      <c r="P68" s="16"/>
      <c r="Q68" s="16"/>
    </row>
    <row r="69" spans="9:28" x14ac:dyDescent="0.2">
      <c r="Q69" s="16"/>
    </row>
    <row r="72" spans="9:28" x14ac:dyDescent="0.2">
      <c r="Q72" s="16"/>
    </row>
  </sheetData>
  <autoFilter ref="A6:AT59" xr:uid="{00000000-0001-0000-0000-000000000000}"/>
  <customSheetViews>
    <customSheetView guid="{117A7AA9-056F-4018-98AD-EAECFC43F1B3}" scale="75" showPageBreaks="1" showGridLines="0" fitToPage="1" printArea="1" showAutoFilter="1" hiddenRows="1" hiddenColumns="1" view="pageBreakPreview" topLeftCell="I1">
      <pane xSplit="11" ySplit="6" topLeftCell="U7" activePane="bottomRight" state="frozen"/>
      <selection pane="bottomRight" activeCell="Y4" sqref="Y4:Z5"/>
      <rowBreaks count="1" manualBreakCount="1">
        <brk id="39" max="35" man="1"/>
      </rowBreaks>
      <pageMargins left="0.39370078740157483" right="0.39370078740157483" top="0.78740157480314965" bottom="0.39370078740157483" header="0.39370078740157483" footer="0.39370078740157483"/>
      <pageSetup paperSize="9" scale="59" fitToHeight="0" orientation="landscape" r:id="rId1"/>
      <headerFooter alignWithMargins="0">
        <oddHeader>&amp;CСтраница &amp;P из &amp;N</oddHeader>
      </headerFooter>
      <autoFilter ref="A6:AT59" xr:uid="{00000000-0001-0000-0000-000000000000}"/>
    </customSheetView>
    <customSheetView guid="{4CBCD9D8-B3F5-4722-8CE7-38B89561B806}" scale="68" showGridLines="0" fitToPage="1" hiddenRows="1" hiddenColumns="1">
      <pane xSplit="11" ySplit="5" topLeftCell="P26" activePane="bottomRight" state="frozen"/>
      <selection pane="bottomRight" activeCell="Q34" sqref="Q34"/>
      <colBreaks count="1" manualBreakCount="1">
        <brk id="24" max="66" man="1"/>
      </colBreaks>
      <pageMargins left="0.39370078740157483" right="0.39370078740157483" top="0.78740157480314965" bottom="0.39370078740157483" header="0.39370078740157483" footer="0.39370078740157483"/>
      <pageSetup paperSize="9" scale="62" fitToWidth="2" fitToHeight="5" orientation="landscape" r:id="rId2"/>
      <headerFooter alignWithMargins="0">
        <oddHeader>&amp;CСтраница &amp;P из &amp;N</oddHeader>
      </headerFooter>
    </customSheetView>
    <customSheetView guid="{7DC50C37-F81E-464D-BE66-31375C660B0F}" scale="68" showPageBreaks="1" showGridLines="0" fitToPage="1" printArea="1" hiddenRows="1" hiddenColumns="1" view="pageBreakPreview">
      <pane xSplit="11" ySplit="5" topLeftCell="T41" activePane="bottomRight" state="frozen"/>
      <selection pane="bottomRight" activeCell="Y53" sqref="Y53"/>
      <colBreaks count="1" manualBreakCount="1">
        <brk id="25" max="66" man="1"/>
      </colBreaks>
      <pageMargins left="0.39370078740157483" right="0.39370078740157483" top="0.78740157480314965" bottom="0.39370078740157483" header="0.39370078740157483" footer="0.39370078740157483"/>
      <pageSetup paperSize="9" scale="59" fitToWidth="2" fitToHeight="5" orientation="landscape" r:id="rId3"/>
      <headerFooter alignWithMargins="0">
        <oddHeader>&amp;CСтраница &amp;P из &amp;N</oddHeader>
      </headerFooter>
    </customSheetView>
    <customSheetView guid="{EFA3296C-EA11-4228-A03B-6841E5AF5251}" scale="66" showPageBreaks="1" showGridLines="0" fitToPage="1" printArea="1" hiddenRows="1" hiddenColumns="1" view="pageBreakPreview">
      <pane xSplit="19" ySplit="5" topLeftCell="U6" activePane="bottomRight" state="frozen"/>
      <selection pane="bottomRight" activeCell="AN5" sqref="AN5"/>
      <colBreaks count="1" manualBreakCount="1">
        <brk id="24" max="59" man="1"/>
      </colBreaks>
      <pageMargins left="0.39370078740157483" right="0.39370078740157483" top="0.78740157480314965" bottom="0.39370078740157483" header="0.39370078740157483" footer="0.39370078740157483"/>
      <pageSetup paperSize="9" scale="69" fitToWidth="2" fitToHeight="5" orientation="landscape" r:id="rId4"/>
      <headerFooter alignWithMargins="0">
        <oddHeader>&amp;CСтраница &amp;P из &amp;N</oddHeader>
      </headerFooter>
    </customSheetView>
  </customSheetViews>
  <mergeCells count="58">
    <mergeCell ref="I3:AG3"/>
    <mergeCell ref="Y4:Z5"/>
    <mergeCell ref="I1:AH2"/>
    <mergeCell ref="N4:N5"/>
    <mergeCell ref="O4:O5"/>
    <mergeCell ref="P4:P5"/>
    <mergeCell ref="Q4:Q5"/>
    <mergeCell ref="R4:R5"/>
    <mergeCell ref="I4:I5"/>
    <mergeCell ref="J4:J5"/>
    <mergeCell ref="K4:K5"/>
    <mergeCell ref="L4:L5"/>
    <mergeCell ref="M4:M5"/>
    <mergeCell ref="AF4:AG4"/>
    <mergeCell ref="X4:X5"/>
    <mergeCell ref="S4:S5"/>
    <mergeCell ref="T4:T5"/>
    <mergeCell ref="U4:U5"/>
    <mergeCell ref="AP4:AQ4"/>
    <mergeCell ref="B7:I7"/>
    <mergeCell ref="AE4:AE5"/>
    <mergeCell ref="AH4:AI4"/>
    <mergeCell ref="B15:I15"/>
    <mergeCell ref="AA4:AB4"/>
    <mergeCell ref="AD4:AD5"/>
    <mergeCell ref="AJ4:AK4"/>
    <mergeCell ref="AL4:AM4"/>
    <mergeCell ref="AN4:AO4"/>
    <mergeCell ref="B11:I11"/>
    <mergeCell ref="B13:I13"/>
    <mergeCell ref="B14:I14"/>
    <mergeCell ref="B10:I10"/>
    <mergeCell ref="AC4:AC5"/>
    <mergeCell ref="AI61:AN61"/>
    <mergeCell ref="B16:I16"/>
    <mergeCell ref="B47:I47"/>
    <mergeCell ref="B20:I20"/>
    <mergeCell ref="B23:I23"/>
    <mergeCell ref="B29:I29"/>
    <mergeCell ref="B33:I33"/>
    <mergeCell ref="B34:I34"/>
    <mergeCell ref="B35:I35"/>
    <mergeCell ref="B41:I41"/>
    <mergeCell ref="B42:I42"/>
    <mergeCell ref="B43:I43"/>
    <mergeCell ref="B44:I44"/>
    <mergeCell ref="B45:I45"/>
    <mergeCell ref="B17:I17"/>
    <mergeCell ref="B21:M21"/>
    <mergeCell ref="V4:V5"/>
    <mergeCell ref="W4:W5"/>
    <mergeCell ref="B58:I58"/>
    <mergeCell ref="B50:I50"/>
    <mergeCell ref="B51:I51"/>
    <mergeCell ref="B52:I52"/>
    <mergeCell ref="B53:I53"/>
    <mergeCell ref="B54:I54"/>
    <mergeCell ref="B55:I55"/>
  </mergeCells>
  <pageMargins left="0.39370078740157483" right="0.39370078740157483" top="0.78740157480314965" bottom="0.39370078740157483" header="0.39370078740157483" footer="0.39370078740157483"/>
  <pageSetup paperSize="9" scale="59" fitToHeight="0" orientation="landscape" r:id="rId5"/>
  <headerFooter alignWithMargins="0">
    <oddHeader>&amp;CСтраница &amp;P из &amp;N</oddHeader>
  </headerFooter>
  <rowBreaks count="1" manualBreakCount="1">
    <brk id="39" max="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План доходов </vt:lpstr>
      <vt:lpstr>'План доходов '!Заголовки_для_печати</vt:lpstr>
      <vt:lpstr>'План доходов 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BLPOOV1</dc:creator>
  <cp:lastModifiedBy>Пользователь</cp:lastModifiedBy>
  <cp:lastPrinted>2023-03-03T12:23:11Z</cp:lastPrinted>
  <dcterms:created xsi:type="dcterms:W3CDTF">2018-12-30T09:36:16Z</dcterms:created>
  <dcterms:modified xsi:type="dcterms:W3CDTF">2023-03-03T13:46:04Z</dcterms:modified>
</cp:coreProperties>
</file>